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
    </mc:Choice>
  </mc:AlternateContent>
  <bookViews>
    <workbookView xWindow="0" yWindow="0" windowWidth="19200" windowHeight="647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Adult Day Rate Framework" sheetId="9" r:id="rId8"/>
    <sheet name="Version" sheetId="15" state="hidden" r:id="rId9"/>
  </sheets>
  <definedNames>
    <definedName name="Budget_Neutrality">'Adult Day Rate Framework'!$A$26:$B$27</definedName>
    <definedName name="columntitleregion1.b14.g20.1">'Direct Staffing'!$A$17:$F$19</definedName>
    <definedName name="Customization">'Direct Staffing'!$A$16:$F$19</definedName>
    <definedName name="DirectStaff">'Direct Staffing'!$A$6:$F$10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C9" i="11" l="1"/>
  <c r="C6" i="10"/>
  <c r="C10" i="10"/>
  <c r="E10" i="10"/>
  <c r="F10" i="10"/>
  <c r="C27" i="10"/>
  <c r="D27" i="10"/>
  <c r="B7" i="16"/>
  <c r="B22" i="9"/>
  <c r="B48" i="9"/>
  <c r="D24" i="9"/>
  <c r="B24" i="9"/>
  <c r="G29" i="9"/>
  <c r="B5" i="16"/>
  <c r="C23" i="10"/>
  <c r="D23" i="10"/>
  <c r="E14" i="10"/>
  <c r="B5" i="14"/>
  <c r="G27" i="9"/>
  <c r="G28" i="9"/>
  <c r="I12" i="10"/>
  <c r="I11" i="10"/>
  <c r="I10" i="10"/>
  <c r="I9" i="10"/>
  <c r="I8" i="10"/>
  <c r="I7" i="10"/>
  <c r="I6" i="10"/>
  <c r="I5" i="10"/>
  <c r="I4" i="10"/>
  <c r="I3" i="10"/>
  <c r="C5" i="14"/>
  <c r="B16" i="9"/>
  <c r="D16" i="9"/>
  <c r="D18" i="10"/>
  <c r="E18" i="10"/>
  <c r="F18" i="10"/>
  <c r="B13" i="9"/>
  <c r="E8" i="6"/>
  <c r="B19" i="9"/>
  <c r="B7" i="9"/>
  <c r="C19" i="3"/>
  <c r="B10" i="9"/>
  <c r="A5" i="14"/>
  <c r="B27" i="9"/>
  <c r="B42" i="9"/>
  <c r="B45" i="9"/>
  <c r="F14" i="10"/>
  <c r="B39" i="9"/>
  <c r="B36" i="9"/>
  <c r="B30" i="9"/>
  <c r="B33" i="9"/>
  <c r="D22" i="9"/>
  <c r="D31" i="10"/>
  <c r="C34" i="10"/>
  <c r="B4" i="9"/>
  <c r="D4" i="9"/>
  <c r="D7" i="9"/>
  <c r="D10" i="9"/>
  <c r="D13" i="9"/>
  <c r="E19" i="9"/>
  <c r="D19" i="9"/>
</calcChain>
</file>

<file path=xl/sharedStrings.xml><?xml version="1.0" encoding="utf-8"?>
<sst xmlns="http://schemas.openxmlformats.org/spreadsheetml/2006/main" count="353" uniqueCount="254">
  <si>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</si>
  <si>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</si>
  <si>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</si>
  <si>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</si>
  <si>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</si>
  <si>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</si>
  <si>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</si>
  <si>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</si>
  <si>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</si>
  <si>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</si>
  <si>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</si>
  <si>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</si>
  <si>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</si>
  <si>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</si>
  <si>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</si>
  <si>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</si>
  <si>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</si>
  <si>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</si>
  <si>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</si>
  <si>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</si>
  <si>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</si>
  <si>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</si>
  <si>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</si>
  <si>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</si>
  <si>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</si>
  <si>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</si>
  <si>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</si>
  <si>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</si>
  <si>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</si>
  <si>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</si>
  <si>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</si>
  <si>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</si>
  <si>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</si>
  <si>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</si>
  <si>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</si>
  <si>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</si>
  <si>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</si>
  <si>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</si>
  <si>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</si>
  <si>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</si>
  <si>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</si>
  <si>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</si>
  <si>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</si>
  <si>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</si>
  <si>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</si>
  <si>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</si>
  <si>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</si>
  <si>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</si>
  <si>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</si>
  <si>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</si>
  <si>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</si>
  <si>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</si>
  <si>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</si>
  <si>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</si>
  <si>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</si>
  <si>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</si>
  <si>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</si>
  <si>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</si>
  <si>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</si>
  <si>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</si>
  <si>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</si>
  <si>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</si>
  <si>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</si>
  <si>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</si>
  <si>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</si>
  <si>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Program Facility cost</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</si>
  <si>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</si>
  <si>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</si>
  <si>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</si>
  <si>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</si>
  <si>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</si>
  <si>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</si>
  <si>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</si>
  <si>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</si>
  <si>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</si>
  <si>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</si>
  <si>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</si>
  <si>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</si>
  <si>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</si>
  <si>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</si>
  <si>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</si>
  <si>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</si>
  <si>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</si>
  <si>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</si>
  <si>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</si>
  <si>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</si>
  <si>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</si>
  <si>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</si>
  <si>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</si>
  <si>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</si>
  <si>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</si>
  <si>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</si>
  <si>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</si>
  <si>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</si>
  <si>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</si>
  <si>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</si>
  <si>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</si>
  <si>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</si>
  <si>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Direct service staff necessary to support and related to the provision of Adult Day Care when not engaged in direct contact with clients.</t>
  </si>
  <si>
    <t>RN</t>
  </si>
  <si>
    <t>RN Amount</t>
  </si>
  <si>
    <t>LPN</t>
  </si>
  <si>
    <t>LPN Amount</t>
  </si>
  <si>
    <t>RN Unit Wage</t>
  </si>
  <si>
    <t>LPN Unit Wage</t>
  </si>
  <si>
    <t>4/1/2014 COLA</t>
  </si>
  <si>
    <t>Cost of Living Adjustment</t>
  </si>
  <si>
    <t>Original Total Unit Rate</t>
  </si>
  <si>
    <t>Post COLA Total Unit Rate</t>
  </si>
  <si>
    <t>7/1/2014 COLA</t>
  </si>
  <si>
    <t>Post 7/1/14 COLA Rate</t>
  </si>
  <si>
    <t>Post 4/1/14 COLA Rate</t>
  </si>
  <si>
    <t>7/1/2015 COLA</t>
  </si>
  <si>
    <t>Post 7/1/15 COLA Rate</t>
  </si>
  <si>
    <t>Region</t>
  </si>
  <si>
    <t>COR Lead Agency</t>
  </si>
  <si>
    <t xml:space="preserve">MSA Region </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</si>
  <si>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</si>
  <si>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</si>
  <si>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</si>
  <si>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</si>
  <si>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</si>
  <si>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</si>
  <si>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</si>
  <si>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</si>
  <si>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</si>
  <si>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</si>
  <si>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</si>
  <si>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</si>
  <si>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</si>
  <si>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</si>
  <si>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</si>
  <si>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</si>
  <si>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</si>
  <si>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</si>
  <si>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</si>
  <si>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</si>
  <si>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</si>
  <si>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</si>
  <si>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</si>
  <si>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</si>
  <si>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</si>
  <si>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</si>
  <si>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</si>
  <si>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</si>
  <si>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</si>
  <si>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</si>
  <si>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</si>
  <si>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</si>
  <si>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</si>
  <si>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</si>
  <si>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</si>
  <si>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</si>
  <si>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</si>
  <si>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</si>
  <si>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</si>
  <si>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</si>
  <si>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</si>
  <si>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</si>
  <si>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</si>
  <si>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</si>
  <si>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</si>
  <si>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</si>
  <si>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</si>
  <si>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</si>
  <si>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</si>
  <si>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</si>
  <si>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</si>
  <si>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</si>
  <si>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</si>
  <si>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</si>
  <si>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</si>
  <si>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</si>
  <si>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</si>
  <si>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</si>
  <si>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</si>
  <si>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</si>
  <si>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</si>
  <si>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</si>
  <si>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</si>
  <si>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</si>
  <si>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</si>
  <si>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</si>
  <si>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</si>
  <si>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</si>
  <si>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</si>
  <si>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</si>
  <si>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</si>
  <si>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</si>
  <si>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</si>
  <si>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</si>
  <si>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</si>
  <si>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</si>
  <si>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</si>
  <si>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</si>
  <si>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</si>
  <si>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</si>
  <si>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</si>
  <si>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</si>
  <si>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</si>
  <si>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</si>
  <si>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</si>
  <si>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</si>
  <si>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</si>
  <si>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RVF</t>
  </si>
  <si>
    <t>Northeast Region</t>
  </si>
  <si>
    <t>Metro Region</t>
  </si>
  <si>
    <t>Northwest Region</t>
  </si>
  <si>
    <t>St. Cloud Region</t>
  </si>
  <si>
    <t>Southwest Region</t>
  </si>
  <si>
    <t>Mankato Region</t>
  </si>
  <si>
    <t>Southeast Region</t>
  </si>
  <si>
    <t>Duluth Region</t>
  </si>
  <si>
    <t>Fargo Region</t>
  </si>
  <si>
    <t>Rochester Region</t>
  </si>
  <si>
    <t>Lacrosse Region</t>
  </si>
  <si>
    <t>Grand Forks Region</t>
  </si>
  <si>
    <t>Step 1: Select County of Residence</t>
  </si>
  <si>
    <t>County of Residence</t>
  </si>
  <si>
    <t>Unspecified Region</t>
  </si>
  <si>
    <t>Regional Variance Factor</t>
  </si>
  <si>
    <t>-</t>
  </si>
  <si>
    <t>Regional Variance</t>
  </si>
  <si>
    <t>Select County</t>
  </si>
  <si>
    <t>LPN Units</t>
  </si>
  <si>
    <t>RN Units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</si>
  <si>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</si>
  <si>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</si>
  <si>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</si>
  <si>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</si>
  <si>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</si>
  <si>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</si>
  <si>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</si>
  <si>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</si>
  <si>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</si>
  <si>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</si>
  <si>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</si>
  <si>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</si>
  <si>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Base hourly wage</t>
  </si>
  <si>
    <t>Competitive Workforce Factor (CWF)</t>
  </si>
  <si>
    <t>Total wage per hour of service</t>
  </si>
  <si>
    <t xml:space="preserve">Step 2. Add wage for direct staff </t>
  </si>
  <si>
    <t>CWF Wage</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</si>
  <si>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</si>
  <si>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</si>
  <si>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</si>
  <si>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</si>
  <si>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</si>
  <si>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</si>
  <si>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Step 1. Determine wage for direct care worker</t>
  </si>
  <si>
    <t>Implementation version (Reused Adult Day 15min Excel and updated base wage to $14.29 and Client Programming and Supports to 7.4%)</t>
  </si>
  <si>
    <t>Version 13</t>
  </si>
  <si>
    <t>No Change</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</si>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</sst>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7" formatCode="0.000"/>
    <numFmt numFmtId="168" formatCode="_(&quot;$&quot;* #,##0.000_);_(&quot;$&quot;* \(#,##0.000\);_(&quot;$&quot;* &quot;-&quot;??_);_(@_)"/>
  </numFmts>
  <fonts count="14"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4">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165" fontId="7" fillId="0" borderId="0" xfId="5" applyNumberFormat="1" applyFont="1" applyFill="1" applyProtection="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9" fillId="8" borderId="28" xfId="0" applyFont="1" applyFill="1" applyBorder="1" applyAlignment="1">
      <alignment vertical="center"/>
    </xf>
    <xf numFmtId="0" fontId="10" fillId="0" borderId="28" xfId="0" applyFont="1" applyBorder="1" applyAlignment="1">
      <alignment vertical="center"/>
    </xf>
    <xf numFmtId="0" fontId="0" fillId="0" borderId="28" xfId="0" applyFont="1" applyBorder="1" applyAlignment="1">
      <alignment vertical="top"/>
    </xf>
    <xf numFmtId="0" fontId="0" fillId="0" borderId="0" xfId="0" applyAlignment="1">
      <alignment horizontal="left"/>
    </xf>
    <xf numFmtId="0" fontId="9" fillId="8" borderId="28" xfId="0" applyFont="1" applyFill="1" applyBorder="1" applyAlignment="1">
      <alignment horizontal="left" vertical="center"/>
    </xf>
    <xf numFmtId="0" fontId="10" fillId="5" borderId="28" xfId="0" applyFont="1" applyFill="1" applyBorder="1" applyAlignment="1">
      <alignment vertical="center"/>
    </xf>
    <xf numFmtId="0" fontId="10" fillId="5" borderId="28" xfId="0" quotePrefix="1" applyFont="1" applyFill="1" applyBorder="1" applyAlignment="1">
      <alignment horizontal="left" vertical="center"/>
    </xf>
    <xf numFmtId="0" fontId="3" fillId="4" borderId="0" xfId="0" applyFont="1" applyFill="1" applyBorder="1"/>
    <xf numFmtId="44" fontId="5" fillId="4" borderId="0" xfId="2" applyFont="1" applyFill="1" applyBorder="1"/>
    <xf numFmtId="0" fontId="1" fillId="4" borderId="0" xfId="0" applyFont="1" applyFill="1"/>
    <xf numFmtId="0" fontId="11" fillId="4" borderId="0" xfId="0" applyFont="1" applyFill="1"/>
    <xf numFmtId="167" fontId="0" fillId="0" borderId="28" xfId="0" applyNumberFormat="1" applyBorder="1"/>
    <xf numFmtId="0" fontId="5" fillId="4" borderId="0" xfId="0" applyFont="1" applyFill="1" applyBorder="1" applyAlignment="1"/>
    <xf numFmtId="10" fontId="5" fillId="4" borderId="0" xfId="5" applyNumberFormat="1" applyFont="1" applyFill="1" applyBorder="1" applyAlignment="1">
      <alignment vertical="top"/>
    </xf>
    <xf numFmtId="44" fontId="0" fillId="9" borderId="0" xfId="0" applyNumberFormat="1" applyFill="1" applyBorder="1"/>
    <xf numFmtId="0" fontId="12" fillId="2" borderId="0" xfId="0" applyFont="1" applyFill="1"/>
    <xf numFmtId="0" fontId="12" fillId="4" borderId="0" xfId="0" applyFont="1" applyFill="1"/>
    <xf numFmtId="0" fontId="13" fillId="2" borderId="0" xfId="0" applyFont="1" applyFill="1"/>
    <xf numFmtId="44" fontId="12" fillId="4" borderId="0" xfId="0" applyNumberFormat="1" applyFont="1" applyFill="1"/>
    <xf numFmtId="44" fontId="12" fillId="4" borderId="0" xfId="2" applyFont="1" applyFill="1"/>
    <xf numFmtId="165" fontId="12" fillId="4" borderId="0" xfId="0" applyNumberFormat="1" applyFont="1" applyFill="1"/>
    <xf numFmtId="10" fontId="12" fillId="4" borderId="0" xfId="0" applyNumberFormat="1" applyFont="1" applyFill="1"/>
    <xf numFmtId="10" fontId="8" fillId="9" borderId="1" xfId="5" applyNumberFormat="1" applyFont="1" applyFill="1" applyBorder="1"/>
    <xf numFmtId="44" fontId="12" fillId="9" borderId="0" xfId="2" applyFont="1" applyFill="1"/>
    <xf numFmtId="44" fontId="11"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5" applyNumberFormat="1" applyFont="1" applyFill="1" applyBorder="1" applyAlignment="1">
      <alignment horizontal="right" vertical="top"/>
    </xf>
    <xf numFmtId="44" fontId="12" fillId="2" borderId="0" xfId="2" applyFont="1" applyFill="1"/>
    <xf numFmtId="0" fontId="10" fillId="0" borderId="29" xfId="0" applyFont="1" applyBorder="1" applyAlignment="1">
      <alignment vertical="center"/>
    </xf>
    <xf numFmtId="0" fontId="0" fillId="0" borderId="29" xfId="0" applyFont="1" applyBorder="1" applyAlignment="1">
      <alignment vertical="top"/>
    </xf>
    <xf numFmtId="167" fontId="0" fillId="0" borderId="29" xfId="0" applyNumberFormat="1" applyBorder="1"/>
    <xf numFmtId="0" fontId="0" fillId="5" borderId="1" xfId="0" applyFill="1" applyBorder="1"/>
    <xf numFmtId="167" fontId="0" fillId="5" borderId="1" xfId="0" applyNumberFormat="1" applyFill="1" applyBorder="1"/>
    <xf numFmtId="0" fontId="3" fillId="4" borderId="0" xfId="0" applyFont="1" applyFill="1" applyProtection="1">
      <protection hidden="1"/>
    </xf>
    <xf numFmtId="165" fontId="7" fillId="0" borderId="0" xfId="5" applyNumberFormat="1" applyFont="1" applyFill="1" applyProtection="1">
      <protection hidden="1"/>
    </xf>
    <xf numFmtId="0" fontId="12"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8" fontId="12"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2" fillId="4" borderId="0" xfId="2" applyFont="1" applyFill="1" applyProtection="1">
      <protection hidden="1"/>
    </xf>
    <xf numFmtId="0" fontId="12"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NumberFormat="1" applyFont="1" applyFill="1" applyBorder="1"/>
    <xf numFmtId="2" fontId="1" fillId="0" borderId="1" xfId="2" applyNumberFormat="1" applyFont="1" applyFill="1" applyBorder="1"/>
    <xf numFmtId="14" fontId="0" fillId="0" borderId="0" xfId="0" applyNumberFormat="1"/>
    <xf numFmtId="10" fontId="0" fillId="4" borderId="1" xfId="0" applyNumberFormat="1" applyFill="1" applyBorder="1"/>
    <xf numFmtId="0" fontId="1" fillId="5" borderId="6" xfId="4" applyFont="1" applyFill="1" applyBorder="1" applyAlignment="1">
      <alignment horizontal="left"/>
    </xf>
    <xf numFmtId="0" fontId="1" fillId="5"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796875" defaultRowHeight="12.5" x14ac:dyDescent="0.25"/>
  <cols>
    <col min="1" max="1" width="30.54296875" style="58" customWidth="1"/>
    <col min="2" max="2" width="13" style="82" customWidth="1"/>
    <col min="3" max="3" width="14.7265625" style="82" customWidth="1"/>
    <col min="4" max="4" width="14.7265625" style="83" customWidth="1"/>
    <col min="5" max="5" width="17.453125" style="83" customWidth="1"/>
    <col min="6" max="6" width="17" style="82" customWidth="1"/>
    <col min="7" max="7" width="9.26953125" style="58" customWidth="1"/>
    <col min="8" max="11" width="9.1796875" style="58" hidden="1" customWidth="1"/>
    <col min="12" max="13" width="9.1796875" style="58" customWidth="1"/>
    <col min="14" max="16384" width="9.1796875" style="58"/>
  </cols>
  <sheetData>
    <row r="1" spans="1:11" ht="15" customHeight="1" x14ac:dyDescent="0.35">
      <c r="A1" s="86" t="s">
        <v>18</v>
      </c>
      <c r="B1" s="58"/>
      <c r="C1" s="58"/>
      <c r="D1" s="58"/>
      <c r="E1" s="58"/>
      <c r="F1" s="58"/>
    </row>
    <row r="2" spans="1:11" ht="15" customHeight="1" thickBot="1" x14ac:dyDescent="0.35">
      <c r="A2" s="87"/>
      <c r="B2" s="58"/>
      <c r="C2" s="58"/>
      <c r="D2" s="58"/>
      <c r="E2" s="58"/>
      <c r="F2" s="58"/>
    </row>
    <row r="3" spans="1:11" ht="15" customHeight="1" x14ac:dyDescent="0.3">
      <c r="A3" s="145" t="s">
        <v>249</v>
      </c>
      <c r="B3" s="145"/>
      <c r="C3" s="145"/>
      <c r="D3" s="58"/>
      <c r="E3" s="58"/>
      <c r="F3" s="58"/>
      <c r="H3" s="59" t="s">
        <v>54</v>
      </c>
      <c r="I3" s="60">
        <f>1/1</f>
        <v>1</v>
      </c>
      <c r="J3" s="60">
        <v>1</v>
      </c>
      <c r="K3" s="61">
        <v>1</v>
      </c>
    </row>
    <row r="4" spans="1:11" ht="15" customHeight="1" x14ac:dyDescent="0.25">
      <c r="A4" s="152" t="s">
        <v>238</v>
      </c>
      <c r="B4" s="153"/>
      <c r="C4" s="146">
        <v>14.29</v>
      </c>
      <c r="H4" s="62" t="s">
        <v>55</v>
      </c>
      <c r="I4" s="63">
        <f>1/0.548</f>
        <v>1.824817518248175</v>
      </c>
      <c r="J4" s="63">
        <v>2</v>
      </c>
      <c r="K4" s="64">
        <v>0.54800000000000004</v>
      </c>
    </row>
    <row r="5" spans="1:11" x14ac:dyDescent="0.25">
      <c r="A5" s="152" t="s">
        <v>239</v>
      </c>
      <c r="B5" s="153"/>
      <c r="C5" s="147">
        <v>4.7E-2</v>
      </c>
      <c r="H5" s="67" t="s">
        <v>56</v>
      </c>
      <c r="I5" s="68">
        <f>1/0.397</f>
        <v>2.5188916876574305</v>
      </c>
      <c r="J5" s="68">
        <v>3</v>
      </c>
      <c r="K5" s="69">
        <v>0.39700000000000002</v>
      </c>
    </row>
    <row r="6" spans="1:11" ht="15" customHeight="1" x14ac:dyDescent="0.25">
      <c r="A6" s="152" t="s">
        <v>240</v>
      </c>
      <c r="B6" s="153"/>
      <c r="C6" s="148">
        <f>ROUND(C4*C5+C4,2)</f>
        <v>14.96</v>
      </c>
      <c r="D6" s="58"/>
      <c r="E6" s="58"/>
      <c r="F6" s="58"/>
      <c r="H6" s="72" t="s">
        <v>57</v>
      </c>
      <c r="I6" s="56">
        <f>1/0.321</f>
        <v>3.1152647975077881</v>
      </c>
      <c r="J6" s="56">
        <v>4</v>
      </c>
      <c r="K6" s="73">
        <v>0.32100000000000001</v>
      </c>
    </row>
    <row r="7" spans="1:11" ht="15" customHeight="1" x14ac:dyDescent="0.3">
      <c r="A7" s="5"/>
      <c r="B7" s="58"/>
      <c r="C7" s="58"/>
      <c r="D7" s="58"/>
      <c r="E7" s="58"/>
      <c r="F7" s="58"/>
      <c r="H7" s="72" t="s">
        <v>76</v>
      </c>
      <c r="I7" s="56">
        <f>1/0.276</f>
        <v>3.6231884057971011</v>
      </c>
      <c r="J7" s="56">
        <v>5</v>
      </c>
      <c r="K7" s="73">
        <v>0.27600000000000002</v>
      </c>
    </row>
    <row r="8" spans="1:11" ht="15" customHeight="1" x14ac:dyDescent="0.3">
      <c r="A8" s="5" t="s">
        <v>241</v>
      </c>
      <c r="B8" s="58"/>
      <c r="C8" s="58"/>
      <c r="D8" s="58"/>
      <c r="E8" s="58"/>
      <c r="F8" s="58"/>
      <c r="H8" s="72" t="s">
        <v>58</v>
      </c>
      <c r="I8" s="56">
        <f>1/0.246</f>
        <v>4.0650406504065044</v>
      </c>
      <c r="J8" s="56">
        <v>6</v>
      </c>
      <c r="K8" s="73">
        <v>0.246</v>
      </c>
    </row>
    <row r="9" spans="1:11" ht="15" customHeight="1" x14ac:dyDescent="0.25">
      <c r="A9" s="65" t="s">
        <v>0</v>
      </c>
      <c r="B9" s="66" t="s">
        <v>53</v>
      </c>
      <c r="C9" s="51" t="s">
        <v>242</v>
      </c>
      <c r="D9" s="22" t="s">
        <v>85</v>
      </c>
      <c r="E9" s="51" t="s">
        <v>86</v>
      </c>
      <c r="F9" s="52" t="s">
        <v>87</v>
      </c>
      <c r="H9" s="72" t="s">
        <v>77</v>
      </c>
      <c r="I9" s="56">
        <f>1/0.224</f>
        <v>4.4642857142857144</v>
      </c>
      <c r="J9" s="56">
        <v>7</v>
      </c>
      <c r="K9" s="73">
        <v>0.224</v>
      </c>
    </row>
    <row r="10" spans="1:11" ht="15" customHeight="1" x14ac:dyDescent="0.25">
      <c r="A10" s="70" t="s">
        <v>61</v>
      </c>
      <c r="B10" s="71" t="s">
        <v>60</v>
      </c>
      <c r="C10" s="16">
        <f>$C$6</f>
        <v>14.96</v>
      </c>
      <c r="D10" s="47">
        <v>1</v>
      </c>
      <c r="E10" s="149">
        <f>ROUND(C10/4,4)</f>
        <v>3.74</v>
      </c>
      <c r="F10" s="115">
        <f>ROUND(E10/(VLOOKUP(B10,H3:K12,2,FALSE)),4)</f>
        <v>0.6956</v>
      </c>
      <c r="H10" s="43" t="s">
        <v>59</v>
      </c>
      <c r="I10" s="56">
        <f>1/0.208</f>
        <v>4.8076923076923075</v>
      </c>
      <c r="J10" s="56">
        <v>8</v>
      </c>
      <c r="K10" s="73">
        <v>0.20799999999999999</v>
      </c>
    </row>
    <row r="11" spans="1:11" ht="15" customHeight="1" x14ac:dyDescent="0.25">
      <c r="B11" s="58"/>
      <c r="C11" s="58"/>
      <c r="D11" s="58"/>
      <c r="E11" s="58"/>
      <c r="F11" s="58"/>
      <c r="H11" s="43" t="s">
        <v>78</v>
      </c>
      <c r="I11" s="56">
        <f>1/0.196</f>
        <v>5.1020408163265305</v>
      </c>
      <c r="J11" s="56">
        <v>9</v>
      </c>
      <c r="K11" s="73">
        <v>0.19600000000000001</v>
      </c>
    </row>
    <row r="12" spans="1:11" ht="15" customHeight="1" thickBot="1" x14ac:dyDescent="0.35">
      <c r="A12" s="5" t="s">
        <v>243</v>
      </c>
      <c r="B12" s="58"/>
      <c r="C12" s="58"/>
      <c r="D12" s="58"/>
      <c r="E12" s="58"/>
      <c r="F12" s="58"/>
      <c r="H12" s="44" t="s">
        <v>60</v>
      </c>
      <c r="I12" s="57">
        <f>1/0.186</f>
        <v>5.376344086021505</v>
      </c>
      <c r="J12" s="57">
        <v>10</v>
      </c>
      <c r="K12" s="77">
        <v>0.186</v>
      </c>
    </row>
    <row r="13" spans="1:11" ht="25" x14ac:dyDescent="0.25">
      <c r="A13" s="45" t="s">
        <v>81</v>
      </c>
      <c r="B13" s="74"/>
      <c r="C13" s="23" t="s">
        <v>16</v>
      </c>
      <c r="D13" s="4" t="s">
        <v>83</v>
      </c>
      <c r="E13" s="4" t="s">
        <v>96</v>
      </c>
      <c r="F13" s="4" t="s">
        <v>88</v>
      </c>
    </row>
    <row r="14" spans="1:11" ht="15" customHeight="1" x14ac:dyDescent="0.25">
      <c r="A14" s="46" t="s">
        <v>81</v>
      </c>
      <c r="B14" s="75"/>
      <c r="C14" s="15">
        <v>22.81</v>
      </c>
      <c r="D14" s="49">
        <v>0.11</v>
      </c>
      <c r="E14" s="47">
        <f>ROUND(D10*D14,9)</f>
        <v>0.11</v>
      </c>
      <c r="F14" s="15">
        <f>((C14/4)*E14)/VLOOKUP(B10,H3:K12,2,FALSE)</f>
        <v>0.11667314999999999</v>
      </c>
    </row>
    <row r="15" spans="1:11" x14ac:dyDescent="0.25">
      <c r="B15" s="58"/>
      <c r="C15" s="58"/>
      <c r="D15" s="58"/>
      <c r="E15" s="58"/>
      <c r="F15" s="58"/>
    </row>
    <row r="16" spans="1:11" ht="13" x14ac:dyDescent="0.3">
      <c r="A16" s="8" t="s">
        <v>244</v>
      </c>
      <c r="B16" s="76"/>
      <c r="C16" s="6"/>
      <c r="D16" s="7"/>
      <c r="E16" s="7"/>
      <c r="F16" s="6"/>
    </row>
    <row r="17" spans="1:8" ht="37.5" x14ac:dyDescent="0.25">
      <c r="A17" s="13" t="s">
        <v>23</v>
      </c>
      <c r="B17" s="3" t="s">
        <v>14</v>
      </c>
      <c r="C17" s="4" t="s">
        <v>15</v>
      </c>
      <c r="D17" s="4" t="s">
        <v>91</v>
      </c>
      <c r="E17" s="13" t="s">
        <v>89</v>
      </c>
      <c r="F17" s="4" t="s">
        <v>90</v>
      </c>
    </row>
    <row r="18" spans="1:8" x14ac:dyDescent="0.25">
      <c r="A18" s="48" t="s">
        <v>82</v>
      </c>
      <c r="B18" s="9">
        <v>0</v>
      </c>
      <c r="C18" s="117">
        <v>0</v>
      </c>
      <c r="D18" s="154">
        <f>IF(C18&gt;0,D10,0)</f>
        <v>0</v>
      </c>
      <c r="E18" s="157">
        <f>ROUND((C18*D18)/4,9)</f>
        <v>0</v>
      </c>
      <c r="F18" s="157">
        <f>E18</f>
        <v>0</v>
      </c>
    </row>
    <row r="19" spans="1:8" x14ac:dyDescent="0.25">
      <c r="A19" s="48" t="s">
        <v>48</v>
      </c>
      <c r="B19" s="78">
        <v>2.5</v>
      </c>
      <c r="C19" s="118"/>
      <c r="D19" s="155"/>
      <c r="E19" s="157"/>
      <c r="F19" s="157"/>
    </row>
    <row r="20" spans="1:8" x14ac:dyDescent="0.25">
      <c r="B20" s="58"/>
      <c r="C20" s="58"/>
      <c r="D20" s="58"/>
      <c r="E20" s="58"/>
      <c r="F20" s="58"/>
    </row>
    <row r="21" spans="1:8" ht="13" x14ac:dyDescent="0.3">
      <c r="A21" s="5" t="s">
        <v>245</v>
      </c>
      <c r="B21" s="58"/>
      <c r="C21" s="58"/>
      <c r="D21" s="58"/>
      <c r="E21" s="58"/>
      <c r="F21" s="58"/>
      <c r="H21" s="58">
        <v>0</v>
      </c>
    </row>
    <row r="22" spans="1:8" x14ac:dyDescent="0.25">
      <c r="A22" s="84" t="s">
        <v>0</v>
      </c>
      <c r="B22" s="84" t="s">
        <v>224</v>
      </c>
      <c r="C22" s="84" t="s">
        <v>104</v>
      </c>
      <c r="D22" s="84" t="s">
        <v>102</v>
      </c>
      <c r="E22" s="58"/>
      <c r="F22" s="58"/>
      <c r="H22" s="58">
        <v>1</v>
      </c>
    </row>
    <row r="23" spans="1:8" x14ac:dyDescent="0.25">
      <c r="A23" s="48" t="s">
        <v>101</v>
      </c>
      <c r="B23" s="85"/>
      <c r="C23" s="9">
        <f>ROUND(20.51/4,4)</f>
        <v>5.1275000000000004</v>
      </c>
      <c r="D23" s="9">
        <f>(C23*B23)</f>
        <v>0</v>
      </c>
      <c r="E23" s="58"/>
      <c r="F23" s="58"/>
      <c r="H23" s="58">
        <v>2</v>
      </c>
    </row>
    <row r="24" spans="1:8" x14ac:dyDescent="0.25">
      <c r="B24" s="58"/>
      <c r="C24" s="58"/>
      <c r="D24" s="58"/>
      <c r="E24" s="58"/>
      <c r="F24" s="58"/>
      <c r="H24" s="58">
        <v>3</v>
      </c>
    </row>
    <row r="25" spans="1:8" ht="13" x14ac:dyDescent="0.3">
      <c r="A25" s="5" t="s">
        <v>246</v>
      </c>
      <c r="B25" s="58"/>
      <c r="C25" s="58"/>
      <c r="D25" s="58"/>
      <c r="E25" s="58"/>
      <c r="F25" s="58"/>
      <c r="H25" s="58">
        <v>4</v>
      </c>
    </row>
    <row r="26" spans="1:8" x14ac:dyDescent="0.25">
      <c r="A26" s="84" t="s">
        <v>0</v>
      </c>
      <c r="B26" s="84" t="s">
        <v>225</v>
      </c>
      <c r="C26" s="84" t="s">
        <v>103</v>
      </c>
      <c r="D26" s="84" t="s">
        <v>100</v>
      </c>
      <c r="E26" s="58"/>
      <c r="F26" s="58"/>
      <c r="H26" s="58">
        <v>5</v>
      </c>
    </row>
    <row r="27" spans="1:8" x14ac:dyDescent="0.25">
      <c r="A27" s="48" t="s">
        <v>99</v>
      </c>
      <c r="B27" s="85"/>
      <c r="C27" s="9">
        <f>ROUND(37.41/4,9)</f>
        <v>9.3524999999999991</v>
      </c>
      <c r="D27" s="9">
        <f>(C27*B27)</f>
        <v>0</v>
      </c>
      <c r="E27" s="58"/>
      <c r="F27" s="58"/>
    </row>
    <row r="28" spans="1:8" x14ac:dyDescent="0.25">
      <c r="B28" s="58"/>
      <c r="C28" s="58"/>
      <c r="D28" s="58"/>
      <c r="E28" s="58"/>
      <c r="F28" s="58"/>
    </row>
    <row r="29" spans="1:8" ht="13" x14ac:dyDescent="0.3">
      <c r="A29" s="5" t="s">
        <v>247</v>
      </c>
      <c r="B29" s="58"/>
      <c r="C29" s="58"/>
      <c r="D29" s="58"/>
      <c r="E29" s="58"/>
      <c r="F29" s="58"/>
    </row>
    <row r="30" spans="1:8" x14ac:dyDescent="0.25">
      <c r="A30" s="45" t="s">
        <v>69</v>
      </c>
      <c r="B30" s="74"/>
      <c r="C30" s="74"/>
      <c r="D30" s="79" t="s">
        <v>17</v>
      </c>
      <c r="E30" s="58"/>
      <c r="F30" s="58"/>
    </row>
    <row r="31" spans="1:8" x14ac:dyDescent="0.25">
      <c r="A31" s="158" t="s">
        <v>29</v>
      </c>
      <c r="B31" s="159"/>
      <c r="C31" s="80">
        <v>8.7099999999999997E-2</v>
      </c>
      <c r="D31" s="9">
        <f>((F10+F14+F18+D27+D23)*C31)</f>
        <v>7.0748991365E-2</v>
      </c>
      <c r="E31" s="58"/>
      <c r="F31" s="58"/>
    </row>
    <row r="32" spans="1:8" x14ac:dyDescent="0.25">
      <c r="B32" s="58"/>
      <c r="C32" s="58"/>
      <c r="D32" s="58"/>
      <c r="E32" s="58"/>
      <c r="F32" s="58"/>
    </row>
    <row r="33" spans="1:6" ht="13" x14ac:dyDescent="0.3">
      <c r="A33" s="5" t="s">
        <v>248</v>
      </c>
      <c r="B33" s="58"/>
      <c r="C33" s="58"/>
      <c r="D33" s="58"/>
      <c r="E33" s="58"/>
      <c r="F33" s="58"/>
    </row>
    <row r="34" spans="1:6" x14ac:dyDescent="0.25">
      <c r="A34" s="160" t="s">
        <v>24</v>
      </c>
      <c r="B34" s="161"/>
      <c r="C34" s="81">
        <f>(F10+F14+F18+D27+D23+D31)</f>
        <v>0.88302214136500001</v>
      </c>
      <c r="D34" s="58"/>
      <c r="E34" s="58"/>
      <c r="F34" s="58"/>
    </row>
    <row r="35" spans="1:6" x14ac:dyDescent="0.25">
      <c r="B35" s="58"/>
      <c r="C35" s="58"/>
      <c r="D35" s="58"/>
      <c r="E35" s="58"/>
      <c r="F35" s="58"/>
    </row>
    <row r="36" spans="1:6" x14ac:dyDescent="0.25">
      <c r="B36" s="58"/>
      <c r="C36" s="58"/>
      <c r="D36" s="58"/>
      <c r="E36" s="58"/>
      <c r="F36" s="58"/>
    </row>
    <row r="44" spans="1:6" x14ac:dyDescent="0.25">
      <c r="B44" s="156"/>
    </row>
    <row r="45" spans="1:6" ht="19.5" customHeight="1" x14ac:dyDescent="0.25">
      <c r="B45" s="156"/>
    </row>
    <row r="46" spans="1:6" x14ac:dyDescent="0.25">
      <c r="B46" s="156"/>
    </row>
  </sheetData>
  <sheetProtection password="C10A" sheet="1"/>
  <mergeCells count="9">
    <mergeCell ref="A4:B4"/>
    <mergeCell ref="A5:B5"/>
    <mergeCell ref="D18:D19"/>
    <mergeCell ref="B44:B46"/>
    <mergeCell ref="E18:E19"/>
    <mergeCell ref="F18:F19"/>
    <mergeCell ref="A31:B31"/>
    <mergeCell ref="A34:B34"/>
    <mergeCell ref="A6:B6"/>
  </mergeCells>
  <phoneticPr fontId="2" type="noConversion"/>
  <dataValidations xWindow="638" yWindow="415"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41 divided by four" sqref="C27"/>
    <dataValidation allowBlank="1" showInputMessage="1" showErrorMessage="1" prompt="LPN Unit Wage is $20.51 divided by four" sqref="C23"/>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formula1>1.00000001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Shared On-site Primary Staff/Awake Wage" sqref="C4"/>
  </dataValidations>
  <pageMargins left="0.75" right="0.75" top="1.37" bottom="1" header="0.5" footer="0.5"/>
  <pageSetup scale="79"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E26" sqref="E26"/>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86" t="s">
        <v>38</v>
      </c>
      <c r="B1" s="86"/>
      <c r="C1" s="86"/>
      <c r="D1" s="27"/>
      <c r="E1" s="27"/>
    </row>
    <row r="2" spans="1:13" x14ac:dyDescent="0.25">
      <c r="A2" s="27"/>
      <c r="B2" s="27"/>
      <c r="C2" s="27"/>
      <c r="D2" s="27"/>
      <c r="E2" s="27"/>
    </row>
    <row r="3" spans="1:13" ht="13" x14ac:dyDescent="0.3">
      <c r="A3" s="5" t="s">
        <v>39</v>
      </c>
      <c r="D3" s="27"/>
      <c r="E3" s="27"/>
    </row>
    <row r="4" spans="1:13" ht="12.75" customHeight="1" x14ac:dyDescent="0.25">
      <c r="A4" s="162" t="s">
        <v>40</v>
      </c>
      <c r="B4" s="163"/>
      <c r="C4" s="164"/>
      <c r="D4" s="27"/>
      <c r="E4" s="27"/>
    </row>
    <row r="5" spans="1:13" ht="27.75" customHeight="1" x14ac:dyDescent="0.25">
      <c r="A5" s="167" t="s">
        <v>98</v>
      </c>
      <c r="B5" s="168"/>
      <c r="C5" s="169"/>
      <c r="D5" s="27"/>
      <c r="E5" s="27"/>
    </row>
    <row r="6" spans="1:13" x14ac:dyDescent="0.25">
      <c r="A6" s="17"/>
      <c r="B6" s="18" t="s">
        <v>32</v>
      </c>
      <c r="C6" s="19"/>
      <c r="D6" s="27"/>
      <c r="E6" s="27"/>
    </row>
    <row r="7" spans="1:13" x14ac:dyDescent="0.25">
      <c r="A7" s="17"/>
      <c r="B7" s="18" t="s">
        <v>33</v>
      </c>
      <c r="C7" s="14"/>
      <c r="D7" s="27"/>
      <c r="E7" s="27"/>
    </row>
    <row r="8" spans="1:13" x14ac:dyDescent="0.25">
      <c r="A8" s="17"/>
      <c r="B8" s="18" t="s">
        <v>37</v>
      </c>
      <c r="C8" s="14"/>
      <c r="D8" s="27"/>
      <c r="E8" s="27"/>
    </row>
    <row r="9" spans="1:13" ht="13" x14ac:dyDescent="0.3">
      <c r="A9" s="165" t="s">
        <v>62</v>
      </c>
      <c r="B9" s="166"/>
      <c r="C9" s="37">
        <v>5.6000000000000001E-2</v>
      </c>
      <c r="D9" s="27"/>
      <c r="E9" s="27"/>
    </row>
    <row r="10" spans="1:13" s="2" customFormat="1" x14ac:dyDescent="0.25">
      <c r="A10" s="27"/>
      <c r="B10" s="27"/>
      <c r="C10" s="27"/>
      <c r="D10" s="27"/>
      <c r="E10" s="27"/>
    </row>
    <row r="11" spans="1:13" s="2" customFormat="1" x14ac:dyDescent="0.25">
      <c r="A11" s="27"/>
      <c r="B11" s="27"/>
      <c r="C11" s="27"/>
      <c r="D11" s="27"/>
      <c r="E11" s="27"/>
    </row>
    <row r="12" spans="1:13" s="2" customFormat="1" x14ac:dyDescent="0.25">
      <c r="B12" s="2" t="s">
        <v>47</v>
      </c>
    </row>
    <row r="13" spans="1:13" s="2" customFormat="1" x14ac:dyDescent="0.25">
      <c r="H13" s="2" t="s">
        <v>44</v>
      </c>
    </row>
    <row r="14" spans="1:13" x14ac:dyDescent="0.25">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election activeCell="C34" sqref="C34"/>
    </sheetView>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86" t="s">
        <v>30</v>
      </c>
      <c r="B1" s="86"/>
      <c r="C1" s="86"/>
      <c r="D1" s="27"/>
      <c r="E1" s="27"/>
    </row>
    <row r="2" spans="1:5" x14ac:dyDescent="0.25">
      <c r="A2" s="27"/>
      <c r="B2" s="27"/>
      <c r="C2" s="27"/>
      <c r="D2" s="27"/>
      <c r="E2" s="27"/>
    </row>
    <row r="3" spans="1:5" ht="13" x14ac:dyDescent="0.3">
      <c r="A3" s="5" t="s">
        <v>21</v>
      </c>
      <c r="D3" s="27"/>
      <c r="E3" s="27"/>
    </row>
    <row r="4" spans="1:5" x14ac:dyDescent="0.25">
      <c r="A4" s="175" t="s">
        <v>42</v>
      </c>
      <c r="B4" s="176"/>
      <c r="C4" s="20" t="s">
        <v>20</v>
      </c>
      <c r="D4" s="27"/>
      <c r="E4" s="27"/>
    </row>
    <row r="5" spans="1:5" x14ac:dyDescent="0.25">
      <c r="A5" s="170" t="s">
        <v>27</v>
      </c>
      <c r="B5" s="171"/>
      <c r="C5" s="172">
        <v>0.11559999999999999</v>
      </c>
      <c r="D5" s="27"/>
      <c r="E5" s="27"/>
    </row>
    <row r="6" spans="1:5" x14ac:dyDescent="0.25">
      <c r="A6" s="10"/>
      <c r="B6" s="177" t="s">
        <v>28</v>
      </c>
      <c r="C6" s="173"/>
      <c r="D6" s="27"/>
      <c r="E6" s="27"/>
    </row>
    <row r="7" spans="1:5" x14ac:dyDescent="0.25">
      <c r="A7" s="11"/>
      <c r="B7" s="178"/>
      <c r="C7" s="174"/>
      <c r="D7" s="27"/>
      <c r="E7" s="27"/>
    </row>
    <row r="8" spans="1:5" x14ac:dyDescent="0.25">
      <c r="A8" s="170" t="s">
        <v>26</v>
      </c>
      <c r="B8" s="171"/>
      <c r="C8" s="172">
        <v>0.12039999999999999</v>
      </c>
      <c r="D8" s="27"/>
      <c r="E8" s="27"/>
    </row>
    <row r="9" spans="1:5" x14ac:dyDescent="0.25">
      <c r="A9" s="10"/>
      <c r="B9" s="2" t="s">
        <v>2</v>
      </c>
      <c r="C9" s="173"/>
      <c r="D9" s="27"/>
      <c r="E9" s="27"/>
    </row>
    <row r="10" spans="1:5" x14ac:dyDescent="0.25">
      <c r="A10" s="10"/>
      <c r="B10" s="2" t="s">
        <v>68</v>
      </c>
      <c r="C10" s="173"/>
      <c r="D10" s="27"/>
      <c r="E10" s="27"/>
    </row>
    <row r="11" spans="1:5" x14ac:dyDescent="0.25">
      <c r="A11" s="10"/>
      <c r="B11" s="2" t="s">
        <v>3</v>
      </c>
      <c r="C11" s="173"/>
      <c r="D11" s="27"/>
      <c r="E11" s="27"/>
    </row>
    <row r="12" spans="1:5" x14ac:dyDescent="0.25">
      <c r="A12" s="10"/>
      <c r="B12" s="2" t="s">
        <v>4</v>
      </c>
      <c r="C12" s="173"/>
      <c r="D12" s="27"/>
      <c r="E12" s="27"/>
    </row>
    <row r="13" spans="1:5" x14ac:dyDescent="0.25">
      <c r="A13" s="10"/>
      <c r="B13" s="2" t="s">
        <v>6</v>
      </c>
      <c r="C13" s="173"/>
      <c r="D13" s="27"/>
      <c r="E13" s="27"/>
    </row>
    <row r="14" spans="1:5" x14ac:dyDescent="0.25">
      <c r="A14" s="10"/>
      <c r="B14" s="2" t="s">
        <v>5</v>
      </c>
      <c r="C14" s="173"/>
      <c r="D14" s="27"/>
      <c r="E14" s="27"/>
    </row>
    <row r="15" spans="1:5" x14ac:dyDescent="0.25">
      <c r="A15" s="10"/>
      <c r="B15" s="2" t="s">
        <v>7</v>
      </c>
      <c r="C15" s="173"/>
      <c r="D15" s="27"/>
      <c r="E15" s="27"/>
    </row>
    <row r="16" spans="1:5" x14ac:dyDescent="0.25">
      <c r="A16" s="10"/>
      <c r="B16" s="2" t="s">
        <v>8</v>
      </c>
      <c r="C16" s="173"/>
      <c r="D16" s="27"/>
      <c r="E16" s="27"/>
    </row>
    <row r="17" spans="1:5" x14ac:dyDescent="0.25">
      <c r="A17" s="10"/>
      <c r="B17" s="2" t="s">
        <v>25</v>
      </c>
      <c r="C17" s="173"/>
      <c r="D17" s="27"/>
      <c r="E17" s="27"/>
    </row>
    <row r="18" spans="1:5" ht="11.25" customHeight="1" x14ac:dyDescent="0.25">
      <c r="A18" s="11"/>
      <c r="B18" s="12"/>
      <c r="C18" s="174"/>
      <c r="D18" s="27"/>
      <c r="E18" s="27"/>
    </row>
    <row r="19" spans="1:5" ht="13" x14ac:dyDescent="0.3">
      <c r="A19" s="165" t="s">
        <v>80</v>
      </c>
      <c r="B19" s="166"/>
      <c r="C19" s="38">
        <f>SUM(C5:C18)</f>
        <v>0.23599999999999999</v>
      </c>
      <c r="D19" s="27"/>
      <c r="E19" s="27"/>
    </row>
    <row r="20" spans="1:5" x14ac:dyDescent="0.25">
      <c r="A20" s="27"/>
      <c r="B20" s="27"/>
      <c r="C20" s="27"/>
      <c r="D20" s="27"/>
      <c r="E20" s="27"/>
    </row>
    <row r="21" spans="1:5" x14ac:dyDescent="0.25">
      <c r="A21" s="1" t="s">
        <v>41</v>
      </c>
      <c r="C21" s="27"/>
      <c r="D21" s="27"/>
      <c r="E21" s="27"/>
    </row>
    <row r="22" spans="1:5" x14ac:dyDescent="0.25">
      <c r="A22" s="27"/>
      <c r="B22" s="27"/>
      <c r="C22" s="27"/>
      <c r="D22" s="27"/>
      <c r="E22" s="27"/>
    </row>
    <row r="23" spans="1:5" x14ac:dyDescent="0.25">
      <c r="A23" s="27"/>
      <c r="B23" s="27"/>
      <c r="C23" s="27"/>
      <c r="D23" s="27"/>
      <c r="E23" s="27"/>
    </row>
  </sheetData>
  <sheetProtection password="C04A" sheet="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D11" sqref="D11"/>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86" t="s">
        <v>34</v>
      </c>
      <c r="B1" s="86"/>
      <c r="C1" s="27"/>
      <c r="D1" s="27"/>
      <c r="E1" s="27"/>
    </row>
    <row r="2" spans="1:5" x14ac:dyDescent="0.25">
      <c r="A2" s="27"/>
      <c r="B2" s="27"/>
      <c r="C2" s="27"/>
      <c r="D2" s="27"/>
      <c r="E2" s="27"/>
    </row>
    <row r="3" spans="1:5" ht="13" x14ac:dyDescent="0.3">
      <c r="A3" s="5" t="s">
        <v>43</v>
      </c>
      <c r="C3" s="27"/>
      <c r="D3" s="27"/>
      <c r="E3" s="27"/>
    </row>
    <row r="4" spans="1:5" x14ac:dyDescent="0.25">
      <c r="A4" s="175" t="s">
        <v>19</v>
      </c>
      <c r="B4" s="176"/>
      <c r="C4" s="20" t="s">
        <v>36</v>
      </c>
      <c r="D4" s="27"/>
      <c r="E4" s="27"/>
    </row>
    <row r="5" spans="1:5" ht="126.75" customHeight="1" x14ac:dyDescent="0.25">
      <c r="A5" s="181" t="s">
        <v>71</v>
      </c>
      <c r="B5" s="180"/>
      <c r="C5" s="119">
        <v>7.3999999999999996E-2</v>
      </c>
      <c r="D5" s="27"/>
      <c r="E5" s="27"/>
    </row>
    <row r="6" spans="1:5" x14ac:dyDescent="0.25">
      <c r="A6" s="27"/>
      <c r="B6" s="27"/>
      <c r="C6" s="27"/>
      <c r="D6" s="27"/>
      <c r="E6" s="27"/>
    </row>
    <row r="7" spans="1:5" ht="13" x14ac:dyDescent="0.3">
      <c r="A7" s="5" t="s">
        <v>70</v>
      </c>
      <c r="C7" s="27"/>
      <c r="D7" s="27"/>
      <c r="E7" s="27"/>
    </row>
    <row r="8" spans="1:5" x14ac:dyDescent="0.25">
      <c r="A8" s="175" t="s">
        <v>50</v>
      </c>
      <c r="B8" s="176"/>
      <c r="C8" s="20" t="s">
        <v>49</v>
      </c>
      <c r="D8" s="27"/>
      <c r="E8" s="27"/>
    </row>
    <row r="9" spans="1:5" x14ac:dyDescent="0.25">
      <c r="A9" s="179" t="s">
        <v>51</v>
      </c>
      <c r="B9" s="180"/>
      <c r="C9" s="119">
        <f>C5</f>
        <v>7.3999999999999996E-2</v>
      </c>
      <c r="D9" s="27"/>
      <c r="E9" s="27"/>
    </row>
    <row r="10" spans="1:5" x14ac:dyDescent="0.25">
      <c r="A10" s="27"/>
      <c r="B10" s="27"/>
      <c r="C10" s="27"/>
      <c r="D10" s="27"/>
      <c r="E10" s="27"/>
    </row>
    <row r="11" spans="1:5" x14ac:dyDescent="0.25">
      <c r="A11" s="27"/>
      <c r="B11" s="27"/>
      <c r="C11" s="27"/>
      <c r="D11" s="27"/>
      <c r="E11" s="27"/>
    </row>
  </sheetData>
  <sheetProtection password="C10A" sheet="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86" t="s">
        <v>46</v>
      </c>
      <c r="B1" s="86"/>
      <c r="C1" s="86"/>
      <c r="D1" s="27"/>
      <c r="E1" s="27"/>
      <c r="F1" s="27"/>
    </row>
    <row r="2" spans="1:6" x14ac:dyDescent="0.25">
      <c r="A2" s="27"/>
      <c r="B2" s="27"/>
      <c r="C2" s="27"/>
      <c r="D2" s="27"/>
      <c r="E2" s="27"/>
      <c r="F2" s="27"/>
    </row>
    <row r="3" spans="1:6" ht="13.5" thickBot="1" x14ac:dyDescent="0.35">
      <c r="A3" s="5" t="s">
        <v>52</v>
      </c>
      <c r="E3" s="27"/>
      <c r="F3" s="27"/>
    </row>
    <row r="4" spans="1:6" ht="25" x14ac:dyDescent="0.25">
      <c r="A4" s="24" t="s">
        <v>53</v>
      </c>
      <c r="B4" s="53" t="s">
        <v>92</v>
      </c>
      <c r="C4" s="53" t="s">
        <v>93</v>
      </c>
      <c r="D4" s="27"/>
      <c r="E4" s="27"/>
      <c r="F4" s="27"/>
    </row>
    <row r="5" spans="1:6" x14ac:dyDescent="0.25">
      <c r="A5" s="25" t="str">
        <f>'Direct Staffing'!B10</f>
        <v>1:10</v>
      </c>
      <c r="B5" s="26">
        <f>ROUND(20.02/120,3)</f>
        <v>0.16700000000000001</v>
      </c>
      <c r="C5" s="116">
        <f>ROUND(((1+1/(VLOOKUP(A5,'Direct Staffing'!H3:K12,2,FALSE)))*B5),3)</f>
        <v>0.19800000000000001</v>
      </c>
      <c r="D5" s="27"/>
      <c r="E5" s="27"/>
      <c r="F5" s="27"/>
    </row>
    <row r="6" spans="1:6" x14ac:dyDescent="0.25">
      <c r="A6" s="27"/>
      <c r="B6" s="27"/>
      <c r="C6" s="27"/>
      <c r="D6" s="27"/>
      <c r="E6" s="27"/>
      <c r="F6" s="27"/>
    </row>
    <row r="7" spans="1:6" x14ac:dyDescent="0.25">
      <c r="A7" s="27"/>
      <c r="B7" s="27"/>
      <c r="C7" s="27"/>
      <c r="D7" s="27"/>
      <c r="E7" s="27"/>
      <c r="F7" s="27"/>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0.02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election activeCell="I8" sqref="I8"/>
    </sheetView>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86" t="s">
        <v>72</v>
      </c>
      <c r="B1" s="86"/>
      <c r="C1" s="86"/>
      <c r="D1" s="27"/>
      <c r="E1" s="27"/>
      <c r="F1" s="27"/>
      <c r="G1" s="27"/>
    </row>
    <row r="2" spans="1:7" x14ac:dyDescent="0.25">
      <c r="A2" s="27"/>
      <c r="B2" s="27"/>
      <c r="C2" s="27"/>
      <c r="D2" s="27"/>
      <c r="E2" s="27"/>
      <c r="F2" s="27"/>
      <c r="G2" s="27"/>
    </row>
    <row r="3" spans="1:7" ht="13" x14ac:dyDescent="0.3">
      <c r="A3" s="87" t="s">
        <v>73</v>
      </c>
      <c r="B3" s="87"/>
      <c r="C3" s="87"/>
      <c r="D3" s="87"/>
      <c r="E3" s="87"/>
      <c r="F3" s="87"/>
      <c r="G3" s="27"/>
    </row>
    <row r="4" spans="1:7" ht="13" x14ac:dyDescent="0.3">
      <c r="A4" s="186" t="s">
        <v>10</v>
      </c>
      <c r="B4" s="186"/>
      <c r="C4" s="186"/>
      <c r="D4" s="186"/>
      <c r="E4" s="21" t="s">
        <v>22</v>
      </c>
      <c r="F4" s="27"/>
      <c r="G4" s="27"/>
    </row>
    <row r="5" spans="1:7" ht="12" customHeight="1" x14ac:dyDescent="0.25">
      <c r="A5" s="187" t="s">
        <v>66</v>
      </c>
      <c r="B5" s="187"/>
      <c r="C5" s="187"/>
      <c r="D5" s="187"/>
      <c r="E5" s="39">
        <v>0.13250000000000001</v>
      </c>
      <c r="F5" s="27"/>
      <c r="G5" s="27"/>
    </row>
    <row r="6" spans="1:7" x14ac:dyDescent="0.25">
      <c r="A6" s="187" t="s">
        <v>67</v>
      </c>
      <c r="B6" s="187"/>
      <c r="C6" s="187"/>
      <c r="D6" s="187"/>
      <c r="E6" s="39">
        <v>1.7999999999999999E-2</v>
      </c>
      <c r="F6" s="27"/>
      <c r="G6" s="27"/>
    </row>
    <row r="7" spans="1:7" x14ac:dyDescent="0.25">
      <c r="A7" s="182" t="s">
        <v>74</v>
      </c>
      <c r="B7" s="183"/>
      <c r="C7" s="183"/>
      <c r="D7" s="184"/>
      <c r="E7" s="39">
        <v>9.4E-2</v>
      </c>
      <c r="F7" s="27"/>
      <c r="G7" s="27"/>
    </row>
    <row r="8" spans="1:7" ht="13" x14ac:dyDescent="0.3">
      <c r="A8" s="185" t="s">
        <v>75</v>
      </c>
      <c r="B8" s="185"/>
      <c r="C8" s="185"/>
      <c r="D8" s="185"/>
      <c r="E8" s="38">
        <f>SUM(E5:E7)</f>
        <v>0.2445</v>
      </c>
      <c r="F8" s="27"/>
      <c r="G8" s="27"/>
    </row>
    <row r="9" spans="1:7" x14ac:dyDescent="0.25">
      <c r="A9" s="27"/>
      <c r="B9" s="27"/>
      <c r="C9" s="27"/>
      <c r="D9" s="27"/>
      <c r="E9" s="27"/>
      <c r="F9" s="27"/>
      <c r="G9" s="27"/>
    </row>
    <row r="10" spans="1:7" x14ac:dyDescent="0.25">
      <c r="C10" s="27"/>
      <c r="D10" s="27"/>
      <c r="E10" s="27"/>
      <c r="F10" s="27"/>
      <c r="G10" s="27"/>
    </row>
    <row r="11" spans="1:7" x14ac:dyDescent="0.25">
      <c r="A11" s="27"/>
      <c r="B11" s="27"/>
      <c r="C11" s="27"/>
      <c r="D11" s="27"/>
      <c r="E11" s="27"/>
      <c r="F11" s="27"/>
      <c r="G11" s="27"/>
    </row>
    <row r="12" spans="1:7" x14ac:dyDescent="0.25">
      <c r="A12" s="27"/>
      <c r="B12" s="27"/>
      <c r="C12" s="27"/>
      <c r="D12" s="27"/>
      <c r="E12" s="27"/>
      <c r="F12" s="27"/>
      <c r="G12" s="27"/>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I111" sqref="I111"/>
    </sheetView>
  </sheetViews>
  <sheetFormatPr defaultRowHeight="12.5" x14ac:dyDescent="0.25"/>
  <cols>
    <col min="1" max="1" width="29" customWidth="1"/>
    <col min="2" max="2" width="17.453125" customWidth="1"/>
    <col min="3" max="3" width="20" customWidth="1"/>
    <col min="4" max="5" width="9.1796875" customWidth="1"/>
    <col min="6" max="6" width="5.54296875" style="93" bestFit="1" customWidth="1"/>
  </cols>
  <sheetData>
    <row r="3" spans="1:6" ht="13" x14ac:dyDescent="0.3">
      <c r="A3" s="5" t="s">
        <v>217</v>
      </c>
      <c r="B3" s="58"/>
      <c r="C3" s="58"/>
      <c r="D3" s="58"/>
    </row>
    <row r="4" spans="1:6" x14ac:dyDescent="0.25">
      <c r="A4" s="45" t="s">
        <v>218</v>
      </c>
      <c r="B4" s="188" t="s">
        <v>223</v>
      </c>
      <c r="C4" s="189"/>
      <c r="D4" s="190"/>
    </row>
    <row r="5" spans="1:6" x14ac:dyDescent="0.25">
      <c r="A5" s="45" t="s">
        <v>114</v>
      </c>
      <c r="B5" s="191" t="str">
        <f>INDEX($C$10:$C$108,MATCH(B4:D4,B10:B108,0))</f>
        <v>Unspecified Region</v>
      </c>
      <c r="C5" s="192"/>
      <c r="D5" s="193"/>
    </row>
    <row r="7" spans="1:6" hidden="1" x14ac:dyDescent="0.25">
      <c r="A7" t="s">
        <v>204</v>
      </c>
      <c r="B7" t="str">
        <f>INDEX($D$10:$D$108,MATCH(B4:D4,B10:B108,0))</f>
        <v>-</v>
      </c>
    </row>
    <row r="8" spans="1:6" hidden="1" x14ac:dyDescent="0.25"/>
    <row r="9" spans="1:6" ht="14.5" hidden="1" x14ac:dyDescent="0.25">
      <c r="B9" s="90" t="s">
        <v>115</v>
      </c>
      <c r="C9" s="90" t="s">
        <v>116</v>
      </c>
      <c r="D9" s="94" t="s">
        <v>204</v>
      </c>
      <c r="F9"/>
    </row>
    <row r="10" spans="1:6" ht="14.5" hidden="1" x14ac:dyDescent="0.25">
      <c r="B10" s="95" t="s">
        <v>223</v>
      </c>
      <c r="C10" s="95" t="s">
        <v>219</v>
      </c>
      <c r="D10" s="96" t="s">
        <v>221</v>
      </c>
      <c r="F10"/>
    </row>
    <row r="11" spans="1:6" ht="14.5" hidden="1" x14ac:dyDescent="0.25">
      <c r="B11" s="91" t="s">
        <v>117</v>
      </c>
      <c r="C11" s="91" t="s">
        <v>205</v>
      </c>
      <c r="D11" s="101">
        <v>0.97299999999999998</v>
      </c>
      <c r="F11"/>
    </row>
    <row r="12" spans="1:6" ht="14.5" hidden="1" x14ac:dyDescent="0.25">
      <c r="B12" s="91" t="s">
        <v>118</v>
      </c>
      <c r="C12" s="91" t="s">
        <v>206</v>
      </c>
      <c r="D12" s="101">
        <v>1.0129999999999999</v>
      </c>
      <c r="F12"/>
    </row>
    <row r="13" spans="1:6" ht="14.5" hidden="1" x14ac:dyDescent="0.25">
      <c r="B13" s="91" t="s">
        <v>119</v>
      </c>
      <c r="C13" s="91" t="s">
        <v>207</v>
      </c>
      <c r="D13" s="101">
        <v>1.0069999999999999</v>
      </c>
      <c r="F13"/>
    </row>
    <row r="14" spans="1:6" ht="14.5" hidden="1" x14ac:dyDescent="0.25">
      <c r="B14" s="91" t="s">
        <v>120</v>
      </c>
      <c r="C14" s="91" t="s">
        <v>207</v>
      </c>
      <c r="D14" s="101">
        <v>1.0069999999999999</v>
      </c>
      <c r="F14"/>
    </row>
    <row r="15" spans="1:6" ht="14.5" hidden="1" x14ac:dyDescent="0.25">
      <c r="B15" s="91" t="s">
        <v>121</v>
      </c>
      <c r="C15" s="91" t="s">
        <v>208</v>
      </c>
      <c r="D15" s="101">
        <v>0.94599999999999995</v>
      </c>
      <c r="F15"/>
    </row>
    <row r="16" spans="1:6" ht="14.5" hidden="1" x14ac:dyDescent="0.25">
      <c r="B16" s="91" t="s">
        <v>122</v>
      </c>
      <c r="C16" s="92" t="s">
        <v>209</v>
      </c>
      <c r="D16" s="101">
        <v>0.97899999999999998</v>
      </c>
      <c r="F16"/>
    </row>
    <row r="17" spans="2:6" ht="14.5" hidden="1" x14ac:dyDescent="0.25">
      <c r="B17" s="91" t="s">
        <v>123</v>
      </c>
      <c r="C17" s="91" t="s">
        <v>210</v>
      </c>
      <c r="D17" s="101">
        <v>1.0429999999999999</v>
      </c>
      <c r="F17"/>
    </row>
    <row r="18" spans="2:6" ht="14.5" hidden="1" x14ac:dyDescent="0.25">
      <c r="B18" s="91" t="s">
        <v>124</v>
      </c>
      <c r="C18" s="92" t="s">
        <v>211</v>
      </c>
      <c r="D18" s="101">
        <v>0.95</v>
      </c>
      <c r="F18"/>
    </row>
    <row r="19" spans="2:6" ht="14.5" hidden="1" x14ac:dyDescent="0.25">
      <c r="B19" s="91" t="s">
        <v>125</v>
      </c>
      <c r="C19" s="92" t="s">
        <v>212</v>
      </c>
      <c r="D19" s="101">
        <v>0.95</v>
      </c>
      <c r="F19"/>
    </row>
    <row r="20" spans="2:6" ht="14.5" hidden="1" x14ac:dyDescent="0.25">
      <c r="B20" s="91" t="s">
        <v>126</v>
      </c>
      <c r="C20" s="91" t="s">
        <v>206</v>
      </c>
      <c r="D20" s="101">
        <v>1.0129999999999999</v>
      </c>
      <c r="F20"/>
    </row>
    <row r="21" spans="2:6" ht="14.5" hidden="1" x14ac:dyDescent="0.25">
      <c r="B21" s="91" t="s">
        <v>127</v>
      </c>
      <c r="C21" s="91" t="s">
        <v>207</v>
      </c>
      <c r="D21" s="101">
        <v>1.0069999999999999</v>
      </c>
      <c r="F21"/>
    </row>
    <row r="22" spans="2:6" ht="14.5" hidden="1" x14ac:dyDescent="0.25">
      <c r="B22" s="91" t="s">
        <v>128</v>
      </c>
      <c r="C22" s="92" t="s">
        <v>209</v>
      </c>
      <c r="D22" s="101">
        <v>0.97899999999999998</v>
      </c>
      <c r="F22"/>
    </row>
    <row r="23" spans="2:6" ht="14.5" hidden="1" x14ac:dyDescent="0.25">
      <c r="B23" s="91" t="s">
        <v>129</v>
      </c>
      <c r="C23" s="92" t="s">
        <v>206</v>
      </c>
      <c r="D23" s="101">
        <v>1.0129999999999999</v>
      </c>
      <c r="F23"/>
    </row>
    <row r="24" spans="2:6" ht="14.5" hidden="1" x14ac:dyDescent="0.25">
      <c r="B24" s="91" t="s">
        <v>130</v>
      </c>
      <c r="C24" s="92" t="s">
        <v>213</v>
      </c>
      <c r="D24" s="101">
        <v>0.99099999999999999</v>
      </c>
      <c r="F24"/>
    </row>
    <row r="25" spans="2:6" ht="14.5" hidden="1" x14ac:dyDescent="0.25">
      <c r="B25" s="91" t="s">
        <v>131</v>
      </c>
      <c r="C25" s="91" t="s">
        <v>207</v>
      </c>
      <c r="D25" s="101">
        <v>1.0069999999999999</v>
      </c>
      <c r="F25"/>
    </row>
    <row r="26" spans="2:6" ht="14.5" hidden="1" x14ac:dyDescent="0.25">
      <c r="B26" s="91" t="s">
        <v>132</v>
      </c>
      <c r="C26" s="92" t="s">
        <v>205</v>
      </c>
      <c r="D26" s="101">
        <v>0.97299999999999998</v>
      </c>
      <c r="F26"/>
    </row>
    <row r="27" spans="2:6" ht="14.5" hidden="1" x14ac:dyDescent="0.25">
      <c r="B27" s="91" t="s">
        <v>133</v>
      </c>
      <c r="C27" s="92" t="s">
        <v>209</v>
      </c>
      <c r="D27" s="101">
        <v>0.97899999999999998</v>
      </c>
      <c r="F27"/>
    </row>
    <row r="28" spans="2:6" ht="14.5" hidden="1" x14ac:dyDescent="0.25">
      <c r="B28" s="91" t="s">
        <v>134</v>
      </c>
      <c r="C28" s="91" t="s">
        <v>207</v>
      </c>
      <c r="D28" s="101">
        <v>1.0069999999999999</v>
      </c>
      <c r="F28"/>
    </row>
    <row r="29" spans="2:6" ht="14.5" hidden="1" x14ac:dyDescent="0.25">
      <c r="B29" s="91" t="s">
        <v>135</v>
      </c>
      <c r="C29" s="91" t="s">
        <v>206</v>
      </c>
      <c r="D29" s="101">
        <v>1.0129999999999999</v>
      </c>
      <c r="F29"/>
    </row>
    <row r="30" spans="2:6" ht="14.5" hidden="1" x14ac:dyDescent="0.25">
      <c r="B30" s="91" t="s">
        <v>136</v>
      </c>
      <c r="C30" s="92" t="s">
        <v>214</v>
      </c>
      <c r="D30" s="101">
        <v>1.0469999999999999</v>
      </c>
      <c r="F30"/>
    </row>
    <row r="31" spans="2:6" ht="14.5" hidden="1" x14ac:dyDescent="0.25">
      <c r="B31" s="91" t="s">
        <v>137</v>
      </c>
      <c r="C31" s="91" t="s">
        <v>207</v>
      </c>
      <c r="D31" s="101">
        <v>1.0069999999999999</v>
      </c>
      <c r="F31"/>
    </row>
    <row r="32" spans="2:6" ht="14.5" hidden="1" x14ac:dyDescent="0.25">
      <c r="B32" s="91" t="s">
        <v>138</v>
      </c>
      <c r="C32" s="92" t="s">
        <v>211</v>
      </c>
      <c r="D32" s="101">
        <v>0.95</v>
      </c>
      <c r="F32"/>
    </row>
    <row r="33" spans="2:6" ht="14.5" hidden="1" x14ac:dyDescent="0.25">
      <c r="B33" s="91" t="s">
        <v>139</v>
      </c>
      <c r="C33" s="92" t="s">
        <v>214</v>
      </c>
      <c r="D33" s="101">
        <v>1.0469999999999999</v>
      </c>
      <c r="F33"/>
    </row>
    <row r="34" spans="2:6" ht="14.5" hidden="1" x14ac:dyDescent="0.25">
      <c r="B34" s="91" t="s">
        <v>140</v>
      </c>
      <c r="C34" s="92" t="s">
        <v>211</v>
      </c>
      <c r="D34" s="101">
        <v>0.95</v>
      </c>
      <c r="F34"/>
    </row>
    <row r="35" spans="2:6" ht="14.5" hidden="1" x14ac:dyDescent="0.25">
      <c r="B35" s="91" t="s">
        <v>141</v>
      </c>
      <c r="C35" s="92" t="s">
        <v>211</v>
      </c>
      <c r="D35" s="101">
        <v>0.95</v>
      </c>
      <c r="F35"/>
    </row>
    <row r="36" spans="2:6" ht="14.5" hidden="1" x14ac:dyDescent="0.25">
      <c r="B36" s="91" t="s">
        <v>142</v>
      </c>
      <c r="C36" s="91" t="s">
        <v>207</v>
      </c>
      <c r="D36" s="101">
        <v>1.0069999999999999</v>
      </c>
      <c r="F36"/>
    </row>
    <row r="37" spans="2:6" ht="14.5" hidden="1" x14ac:dyDescent="0.25">
      <c r="B37" s="91" t="s">
        <v>143</v>
      </c>
      <c r="C37" s="91" t="s">
        <v>206</v>
      </c>
      <c r="D37" s="101">
        <v>1.0129999999999999</v>
      </c>
      <c r="F37"/>
    </row>
    <row r="38" spans="2:6" ht="14.5" hidden="1" x14ac:dyDescent="0.25">
      <c r="B38" s="91" t="s">
        <v>144</v>
      </c>
      <c r="C38" s="92" t="s">
        <v>215</v>
      </c>
      <c r="D38" s="101">
        <v>1.034</v>
      </c>
      <c r="F38"/>
    </row>
    <row r="39" spans="2:6" ht="14.5" hidden="1" x14ac:dyDescent="0.25">
      <c r="B39" s="91" t="s">
        <v>145</v>
      </c>
      <c r="C39" s="91" t="s">
        <v>207</v>
      </c>
      <c r="D39" s="101">
        <v>1.0069999999999999</v>
      </c>
      <c r="F39"/>
    </row>
    <row r="40" spans="2:6" ht="14.5" hidden="1" x14ac:dyDescent="0.25">
      <c r="B40" s="91" t="s">
        <v>146</v>
      </c>
      <c r="C40" s="92" t="s">
        <v>206</v>
      </c>
      <c r="D40" s="101">
        <v>1.0129999999999999</v>
      </c>
      <c r="F40"/>
    </row>
    <row r="41" spans="2:6" ht="14.5" hidden="1" x14ac:dyDescent="0.25">
      <c r="B41" s="91" t="s">
        <v>147</v>
      </c>
      <c r="C41" s="92" t="s">
        <v>205</v>
      </c>
      <c r="D41" s="101">
        <v>0.97299999999999998</v>
      </c>
      <c r="F41"/>
    </row>
    <row r="42" spans="2:6" ht="14.5" hidden="1" x14ac:dyDescent="0.25">
      <c r="B42" s="91" t="s">
        <v>148</v>
      </c>
      <c r="C42" s="92" t="s">
        <v>209</v>
      </c>
      <c r="D42" s="101">
        <v>0.97899999999999998</v>
      </c>
      <c r="F42"/>
    </row>
    <row r="43" spans="2:6" ht="14.5" hidden="1" x14ac:dyDescent="0.25">
      <c r="B43" s="91" t="s">
        <v>149</v>
      </c>
      <c r="C43" s="92" t="s">
        <v>205</v>
      </c>
      <c r="D43" s="101">
        <v>0.97299999999999998</v>
      </c>
      <c r="F43"/>
    </row>
    <row r="44" spans="2:6" ht="14.5" hidden="1" x14ac:dyDescent="0.25">
      <c r="B44" s="91" t="s">
        <v>150</v>
      </c>
      <c r="C44" s="92" t="s">
        <v>209</v>
      </c>
      <c r="D44" s="101">
        <v>0.97899999999999998</v>
      </c>
      <c r="F44"/>
    </row>
    <row r="45" spans="2:6" ht="14.5" hidden="1" x14ac:dyDescent="0.25">
      <c r="B45" s="91" t="s">
        <v>151</v>
      </c>
      <c r="C45" s="91" t="s">
        <v>207</v>
      </c>
      <c r="D45" s="101">
        <v>1.0069999999999999</v>
      </c>
      <c r="F45"/>
    </row>
    <row r="46" spans="2:6" ht="14.5" hidden="1" x14ac:dyDescent="0.25">
      <c r="B46" s="91" t="s">
        <v>152</v>
      </c>
      <c r="C46" s="92" t="s">
        <v>205</v>
      </c>
      <c r="D46" s="101">
        <v>0.97299999999999998</v>
      </c>
      <c r="F46"/>
    </row>
    <row r="47" spans="2:6" ht="14.5" hidden="1" x14ac:dyDescent="0.25">
      <c r="B47" s="91" t="s">
        <v>153</v>
      </c>
      <c r="C47" s="92" t="s">
        <v>209</v>
      </c>
      <c r="D47" s="101">
        <v>0.97899999999999998</v>
      </c>
      <c r="F47"/>
    </row>
    <row r="48" spans="2:6" ht="14.5" hidden="1" x14ac:dyDescent="0.25">
      <c r="B48" s="91" t="s">
        <v>154</v>
      </c>
      <c r="C48" s="92" t="s">
        <v>205</v>
      </c>
      <c r="D48" s="101">
        <v>0.97299999999999998</v>
      </c>
      <c r="F48"/>
    </row>
    <row r="49" spans="2:6" ht="14.5" hidden="1" x14ac:dyDescent="0.25">
      <c r="B49" s="91" t="s">
        <v>155</v>
      </c>
      <c r="C49" s="91" t="s">
        <v>207</v>
      </c>
      <c r="D49" s="101">
        <v>1.0069999999999999</v>
      </c>
      <c r="F49"/>
    </row>
    <row r="50" spans="2:6" ht="14.5" hidden="1" x14ac:dyDescent="0.25">
      <c r="B50" s="91" t="s">
        <v>156</v>
      </c>
      <c r="C50" s="92" t="s">
        <v>206</v>
      </c>
      <c r="D50" s="101">
        <v>1.0129999999999999</v>
      </c>
      <c r="F50"/>
    </row>
    <row r="51" spans="2:6" ht="14.5" hidden="1" x14ac:dyDescent="0.25">
      <c r="B51" s="91" t="s">
        <v>157</v>
      </c>
      <c r="C51" s="92" t="s">
        <v>209</v>
      </c>
      <c r="D51" s="101">
        <v>0.97899999999999998</v>
      </c>
      <c r="F51"/>
    </row>
    <row r="52" spans="2:6" ht="14.5" hidden="1" x14ac:dyDescent="0.25">
      <c r="B52" s="91" t="s">
        <v>158</v>
      </c>
      <c r="C52" s="92" t="s">
        <v>209</v>
      </c>
      <c r="D52" s="101">
        <v>0.97899999999999998</v>
      </c>
      <c r="F52"/>
    </row>
    <row r="53" spans="2:6" ht="14.5" hidden="1" x14ac:dyDescent="0.25">
      <c r="B53" s="91" t="s">
        <v>159</v>
      </c>
      <c r="C53" s="92" t="s">
        <v>209</v>
      </c>
      <c r="D53" s="101">
        <v>0.97899999999999998</v>
      </c>
      <c r="F53"/>
    </row>
    <row r="54" spans="2:6" ht="14.5" hidden="1" x14ac:dyDescent="0.25">
      <c r="B54" s="91" t="s">
        <v>160</v>
      </c>
      <c r="C54" s="91" t="s">
        <v>207</v>
      </c>
      <c r="D54" s="101">
        <v>1.0069999999999999</v>
      </c>
      <c r="F54"/>
    </row>
    <row r="55" spans="2:6" ht="14.5" hidden="1" x14ac:dyDescent="0.25">
      <c r="B55" s="91" t="s">
        <v>161</v>
      </c>
      <c r="C55" s="91" t="s">
        <v>207</v>
      </c>
      <c r="D55" s="101">
        <v>1.0069999999999999</v>
      </c>
      <c r="F55"/>
    </row>
    <row r="56" spans="2:6" ht="14.5" hidden="1" x14ac:dyDescent="0.25">
      <c r="B56" s="91" t="s">
        <v>162</v>
      </c>
      <c r="C56" s="92" t="s">
        <v>211</v>
      </c>
      <c r="D56" s="101">
        <v>0.95</v>
      </c>
      <c r="F56"/>
    </row>
    <row r="57" spans="2:6" ht="14.5" hidden="1" x14ac:dyDescent="0.25">
      <c r="B57" s="91" t="s">
        <v>163</v>
      </c>
      <c r="C57" s="92" t="s">
        <v>209</v>
      </c>
      <c r="D57" s="101">
        <v>0.97899999999999998</v>
      </c>
      <c r="F57"/>
    </row>
    <row r="58" spans="2:6" ht="14.5" hidden="1" x14ac:dyDescent="0.25">
      <c r="B58" s="91" t="s">
        <v>164</v>
      </c>
      <c r="C58" s="92" t="s">
        <v>206</v>
      </c>
      <c r="D58" s="101">
        <v>1.0129999999999999</v>
      </c>
      <c r="F58"/>
    </row>
    <row r="59" spans="2:6" ht="14.5" hidden="1" x14ac:dyDescent="0.25">
      <c r="B59" s="91" t="s">
        <v>165</v>
      </c>
      <c r="C59" s="91" t="s">
        <v>207</v>
      </c>
      <c r="D59" s="101">
        <v>1.0069999999999999</v>
      </c>
      <c r="F59"/>
    </row>
    <row r="60" spans="2:6" ht="14.5" hidden="1" x14ac:dyDescent="0.25">
      <c r="B60" s="91" t="s">
        <v>166</v>
      </c>
      <c r="C60" s="92" t="s">
        <v>211</v>
      </c>
      <c r="D60" s="101">
        <v>0.95</v>
      </c>
      <c r="F60"/>
    </row>
    <row r="61" spans="2:6" ht="14.5" hidden="1" x14ac:dyDescent="0.25">
      <c r="B61" s="91" t="s">
        <v>167</v>
      </c>
      <c r="C61" s="92" t="s">
        <v>209</v>
      </c>
      <c r="D61" s="101">
        <v>0.97899999999999998</v>
      </c>
      <c r="F61"/>
    </row>
    <row r="62" spans="2:6" ht="14.5" hidden="1" x14ac:dyDescent="0.25">
      <c r="B62" s="91" t="s">
        <v>168</v>
      </c>
      <c r="C62" s="92" t="s">
        <v>210</v>
      </c>
      <c r="D62" s="101">
        <v>1.0429999999999999</v>
      </c>
      <c r="F62"/>
    </row>
    <row r="63" spans="2:6" ht="14.5" hidden="1" x14ac:dyDescent="0.25">
      <c r="B63" s="91" t="s">
        <v>169</v>
      </c>
      <c r="C63" s="92" t="s">
        <v>209</v>
      </c>
      <c r="D63" s="101">
        <v>0.97899999999999998</v>
      </c>
      <c r="F63"/>
    </row>
    <row r="64" spans="2:6" ht="14.5" hidden="1" x14ac:dyDescent="0.25">
      <c r="B64" s="91" t="s">
        <v>170</v>
      </c>
      <c r="C64" s="91" t="s">
        <v>207</v>
      </c>
      <c r="D64" s="101">
        <v>1.0069999999999999</v>
      </c>
      <c r="F64"/>
    </row>
    <row r="65" spans="2:6" ht="14.5" hidden="1" x14ac:dyDescent="0.25">
      <c r="B65" s="91" t="s">
        <v>171</v>
      </c>
      <c r="C65" s="92" t="s">
        <v>214</v>
      </c>
      <c r="D65" s="101">
        <v>1.0469999999999999</v>
      </c>
      <c r="F65"/>
    </row>
    <row r="66" spans="2:6" ht="14.5" hidden="1" x14ac:dyDescent="0.25">
      <c r="B66" s="91" t="s">
        <v>172</v>
      </c>
      <c r="C66" s="91" t="s">
        <v>207</v>
      </c>
      <c r="D66" s="101">
        <v>1.0069999999999999</v>
      </c>
      <c r="F66"/>
    </row>
    <row r="67" spans="2:6" ht="14.5" hidden="1" x14ac:dyDescent="0.25">
      <c r="B67" s="91" t="s">
        <v>173</v>
      </c>
      <c r="C67" s="91" t="s">
        <v>207</v>
      </c>
      <c r="D67" s="101">
        <v>1.0069999999999999</v>
      </c>
      <c r="F67"/>
    </row>
    <row r="68" spans="2:6" ht="14.5" hidden="1" x14ac:dyDescent="0.25">
      <c r="B68" s="91" t="s">
        <v>174</v>
      </c>
      <c r="C68" s="92" t="s">
        <v>205</v>
      </c>
      <c r="D68" s="101">
        <v>0.97299999999999998</v>
      </c>
      <c r="F68"/>
    </row>
    <row r="69" spans="2:6" ht="14.5" hidden="1" x14ac:dyDescent="0.25">
      <c r="B69" s="91" t="s">
        <v>175</v>
      </c>
      <c r="C69" s="92" t="s">
        <v>209</v>
      </c>
      <c r="D69" s="101">
        <v>0.97899999999999998</v>
      </c>
      <c r="F69"/>
    </row>
    <row r="70" spans="2:6" ht="14.5" hidden="1" x14ac:dyDescent="0.25">
      <c r="B70" s="91" t="s">
        <v>176</v>
      </c>
      <c r="C70" s="92" t="s">
        <v>216</v>
      </c>
      <c r="D70" s="101">
        <v>0.99099999999999999</v>
      </c>
      <c r="F70"/>
    </row>
    <row r="71" spans="2:6" ht="14.5" hidden="1" x14ac:dyDescent="0.25">
      <c r="B71" s="91" t="s">
        <v>177</v>
      </c>
      <c r="C71" s="91" t="s">
        <v>207</v>
      </c>
      <c r="D71" s="101">
        <v>1.0069999999999999</v>
      </c>
      <c r="F71"/>
    </row>
    <row r="72" spans="2:6" ht="14.5" hidden="1" x14ac:dyDescent="0.25">
      <c r="B72" s="91" t="s">
        <v>178</v>
      </c>
      <c r="C72" s="91" t="s">
        <v>206</v>
      </c>
      <c r="D72" s="101">
        <v>1.0129999999999999</v>
      </c>
      <c r="F72"/>
    </row>
    <row r="73" spans="2:6" ht="14.5" hidden="1" x14ac:dyDescent="0.25">
      <c r="B73" s="91" t="s">
        <v>179</v>
      </c>
      <c r="C73" s="91" t="s">
        <v>207</v>
      </c>
      <c r="D73" s="101">
        <v>1.0069999999999999</v>
      </c>
      <c r="F73"/>
    </row>
    <row r="74" spans="2:6" ht="14.5" hidden="1" x14ac:dyDescent="0.25">
      <c r="B74" s="91" t="s">
        <v>180</v>
      </c>
      <c r="C74" s="92" t="s">
        <v>209</v>
      </c>
      <c r="D74" s="101">
        <v>0.97899999999999998</v>
      </c>
      <c r="F74"/>
    </row>
    <row r="75" spans="2:6" ht="14.5" hidden="1" x14ac:dyDescent="0.25">
      <c r="B75" s="91" t="s">
        <v>181</v>
      </c>
      <c r="C75" s="92" t="s">
        <v>209</v>
      </c>
      <c r="D75" s="101">
        <v>0.97899999999999998</v>
      </c>
      <c r="F75"/>
    </row>
    <row r="76" spans="2:6" ht="14.5" hidden="1" x14ac:dyDescent="0.25">
      <c r="B76" s="91" t="s">
        <v>182</v>
      </c>
      <c r="C76" s="92" t="s">
        <v>211</v>
      </c>
      <c r="D76" s="101">
        <v>0.95</v>
      </c>
      <c r="F76"/>
    </row>
    <row r="77" spans="2:6" ht="14.5" hidden="1" x14ac:dyDescent="0.25">
      <c r="B77" s="91" t="s">
        <v>183</v>
      </c>
      <c r="C77" s="92" t="s">
        <v>209</v>
      </c>
      <c r="D77" s="101">
        <v>0.97899999999999998</v>
      </c>
      <c r="F77"/>
    </row>
    <row r="78" spans="2:6" ht="14.5" hidden="1" x14ac:dyDescent="0.25">
      <c r="B78" s="91" t="s">
        <v>184</v>
      </c>
      <c r="C78" s="91" t="s">
        <v>207</v>
      </c>
      <c r="D78" s="101">
        <v>1.0069999999999999</v>
      </c>
      <c r="F78"/>
    </row>
    <row r="79" spans="2:6" ht="14.5" hidden="1" x14ac:dyDescent="0.25">
      <c r="B79" s="91" t="s">
        <v>185</v>
      </c>
      <c r="C79" s="92" t="s">
        <v>212</v>
      </c>
      <c r="D79" s="101">
        <v>0.95</v>
      </c>
      <c r="F79"/>
    </row>
    <row r="80" spans="2:6" ht="14.5" hidden="1" x14ac:dyDescent="0.25">
      <c r="B80" s="91" t="s">
        <v>186</v>
      </c>
      <c r="C80" s="91" t="s">
        <v>206</v>
      </c>
      <c r="D80" s="101">
        <v>1.0129999999999999</v>
      </c>
      <c r="F80"/>
    </row>
    <row r="81" spans="2:6" ht="14.5" hidden="1" x14ac:dyDescent="0.25">
      <c r="B81" s="91" t="s">
        <v>187</v>
      </c>
      <c r="C81" s="92" t="s">
        <v>206</v>
      </c>
      <c r="D81" s="101">
        <v>1.0129999999999999</v>
      </c>
      <c r="F81"/>
    </row>
    <row r="82" spans="2:6" ht="14.5" hidden="1" x14ac:dyDescent="0.25">
      <c r="B82" s="91" t="s">
        <v>188</v>
      </c>
      <c r="C82" s="92" t="s">
        <v>206</v>
      </c>
      <c r="D82" s="101">
        <v>1.0129999999999999</v>
      </c>
      <c r="F82"/>
    </row>
    <row r="83" spans="2:6" ht="14.5" hidden="1" x14ac:dyDescent="0.25">
      <c r="B83" s="91" t="s">
        <v>189</v>
      </c>
      <c r="C83" s="92" t="s">
        <v>208</v>
      </c>
      <c r="D83" s="101">
        <v>0.94599999999999995</v>
      </c>
      <c r="F83"/>
    </row>
    <row r="84" spans="2:6" ht="14.5" hidden="1" x14ac:dyDescent="0.25">
      <c r="B84" s="91" t="s">
        <v>190</v>
      </c>
      <c r="C84" s="92" t="s">
        <v>211</v>
      </c>
      <c r="D84" s="101">
        <v>0.95</v>
      </c>
      <c r="F84"/>
    </row>
    <row r="85" spans="2:6" ht="14.5" hidden="1" x14ac:dyDescent="0.25">
      <c r="B85" s="91" t="s">
        <v>191</v>
      </c>
      <c r="C85" s="91" t="s">
        <v>207</v>
      </c>
      <c r="D85" s="101">
        <v>1.0069999999999999</v>
      </c>
      <c r="F85"/>
    </row>
    <row r="86" spans="2:6" ht="14.5" hidden="1" x14ac:dyDescent="0.25">
      <c r="B86" s="91" t="s">
        <v>192</v>
      </c>
      <c r="C86" s="92" t="s">
        <v>209</v>
      </c>
      <c r="D86" s="101">
        <v>0.97899999999999998</v>
      </c>
      <c r="F86"/>
    </row>
    <row r="87" spans="2:6" ht="14.5" hidden="1" x14ac:dyDescent="0.25">
      <c r="B87" s="91" t="s">
        <v>193</v>
      </c>
      <c r="C87" s="91" t="s">
        <v>207</v>
      </c>
      <c r="D87" s="101">
        <v>1.0069999999999999</v>
      </c>
      <c r="F87"/>
    </row>
    <row r="88" spans="2:6" ht="14.5" hidden="1" x14ac:dyDescent="0.25">
      <c r="B88" s="91" t="s">
        <v>194</v>
      </c>
      <c r="C88" s="91" t="s">
        <v>207</v>
      </c>
      <c r="D88" s="101">
        <v>1.0069999999999999</v>
      </c>
      <c r="F88"/>
    </row>
    <row r="89" spans="2:6" ht="14.5" hidden="1" x14ac:dyDescent="0.25">
      <c r="B89" s="91" t="s">
        <v>195</v>
      </c>
      <c r="C89" s="92" t="s">
        <v>214</v>
      </c>
      <c r="D89" s="101">
        <v>1.0469999999999999</v>
      </c>
      <c r="F89"/>
    </row>
    <row r="90" spans="2:6" ht="14.5" hidden="1" x14ac:dyDescent="0.25">
      <c r="B90" s="91" t="s">
        <v>196</v>
      </c>
      <c r="C90" s="91" t="s">
        <v>207</v>
      </c>
      <c r="D90" s="101">
        <v>1.0069999999999999</v>
      </c>
      <c r="F90"/>
    </row>
    <row r="91" spans="2:6" ht="14.5" hidden="1" x14ac:dyDescent="0.25">
      <c r="B91" s="91" t="s">
        <v>197</v>
      </c>
      <c r="C91" s="92" t="s">
        <v>211</v>
      </c>
      <c r="D91" s="101">
        <v>0.95</v>
      </c>
      <c r="F91"/>
    </row>
    <row r="92" spans="2:6" ht="14.5" hidden="1" x14ac:dyDescent="0.25">
      <c r="B92" s="91" t="s">
        <v>198</v>
      </c>
      <c r="C92" s="91" t="s">
        <v>206</v>
      </c>
      <c r="D92" s="101">
        <v>1.0129999999999999</v>
      </c>
      <c r="F92"/>
    </row>
    <row r="93" spans="2:6" ht="14.5" hidden="1" x14ac:dyDescent="0.25">
      <c r="B93" s="91" t="s">
        <v>199</v>
      </c>
      <c r="C93" s="92" t="s">
        <v>211</v>
      </c>
      <c r="D93" s="101">
        <v>0.95</v>
      </c>
      <c r="F93"/>
    </row>
    <row r="94" spans="2:6" ht="14.5" hidden="1" x14ac:dyDescent="0.25">
      <c r="B94" s="91" t="s">
        <v>200</v>
      </c>
      <c r="C94" s="91" t="s">
        <v>207</v>
      </c>
      <c r="D94" s="101">
        <v>1.0069999999999999</v>
      </c>
      <c r="F94"/>
    </row>
    <row r="95" spans="2:6" ht="14.5" hidden="1" x14ac:dyDescent="0.25">
      <c r="B95" s="91" t="s">
        <v>201</v>
      </c>
      <c r="C95" s="92" t="s">
        <v>211</v>
      </c>
      <c r="D95" s="101">
        <v>0.95</v>
      </c>
      <c r="F95"/>
    </row>
    <row r="96" spans="2:6" ht="14.5" hidden="1" x14ac:dyDescent="0.25">
      <c r="B96" s="91" t="s">
        <v>202</v>
      </c>
      <c r="C96" s="92" t="s">
        <v>206</v>
      </c>
      <c r="D96" s="101">
        <v>1.0129999999999999</v>
      </c>
      <c r="F96"/>
    </row>
    <row r="97" spans="2:6" ht="17.25" hidden="1" customHeight="1" x14ac:dyDescent="0.25">
      <c r="B97" s="121" t="s">
        <v>203</v>
      </c>
      <c r="C97" s="122" t="s">
        <v>209</v>
      </c>
      <c r="D97" s="123">
        <v>0.97899999999999998</v>
      </c>
      <c r="F97"/>
    </row>
    <row r="98" spans="2:6" hidden="1" x14ac:dyDescent="0.25">
      <c r="B98" s="124" t="s">
        <v>226</v>
      </c>
      <c r="C98" s="124" t="s">
        <v>207</v>
      </c>
      <c r="D98" s="125">
        <v>1.0069999999999999</v>
      </c>
    </row>
    <row r="99" spans="2:6" hidden="1" x14ac:dyDescent="0.25">
      <c r="B99" s="124" t="s">
        <v>227</v>
      </c>
      <c r="C99" s="124" t="s">
        <v>207</v>
      </c>
      <c r="D99" s="125">
        <v>1.0069999999999999</v>
      </c>
    </row>
    <row r="100" spans="2:6" hidden="1" x14ac:dyDescent="0.25">
      <c r="B100" s="124" t="s">
        <v>228</v>
      </c>
      <c r="C100" s="124" t="s">
        <v>209</v>
      </c>
      <c r="D100" s="125">
        <v>0.97899999999999998</v>
      </c>
    </row>
    <row r="101" spans="2:6" hidden="1" x14ac:dyDescent="0.25">
      <c r="B101" s="124" t="s">
        <v>229</v>
      </c>
      <c r="C101" s="124" t="s">
        <v>206</v>
      </c>
      <c r="D101" s="125">
        <v>1.0129999999999999</v>
      </c>
    </row>
    <row r="102" spans="2:6" hidden="1" x14ac:dyDescent="0.25">
      <c r="B102" s="124" t="s">
        <v>230</v>
      </c>
      <c r="C102" s="124" t="s">
        <v>209</v>
      </c>
      <c r="D102" s="125">
        <v>0.97899999999999998</v>
      </c>
    </row>
    <row r="103" spans="2:6" hidden="1" x14ac:dyDescent="0.25">
      <c r="B103" s="124" t="s">
        <v>231</v>
      </c>
      <c r="C103" s="124" t="s">
        <v>206</v>
      </c>
      <c r="D103" s="125">
        <v>1.0129999999999999</v>
      </c>
    </row>
    <row r="104" spans="2:6" hidden="1" x14ac:dyDescent="0.25">
      <c r="B104" s="124" t="s">
        <v>232</v>
      </c>
      <c r="C104" s="124" t="s">
        <v>205</v>
      </c>
      <c r="D104" s="124">
        <v>0.97299999999999998</v>
      </c>
    </row>
    <row r="105" spans="2:6" hidden="1" x14ac:dyDescent="0.25">
      <c r="B105" s="124" t="s">
        <v>233</v>
      </c>
      <c r="C105" s="124" t="s">
        <v>212</v>
      </c>
      <c r="D105" s="125">
        <v>0.95</v>
      </c>
    </row>
    <row r="106" spans="2:6" hidden="1" x14ac:dyDescent="0.25">
      <c r="B106" s="124" t="s">
        <v>234</v>
      </c>
      <c r="C106" s="124" t="s">
        <v>207</v>
      </c>
      <c r="D106" s="124">
        <v>1.0069999999999999</v>
      </c>
    </row>
    <row r="107" spans="2:6" hidden="1" x14ac:dyDescent="0.25">
      <c r="B107" s="124" t="s">
        <v>235</v>
      </c>
      <c r="C107" s="124" t="s">
        <v>205</v>
      </c>
      <c r="D107" s="124">
        <v>0.97299999999999998</v>
      </c>
    </row>
    <row r="108" spans="2:6" hidden="1" x14ac:dyDescent="0.25">
      <c r="B108" s="124" t="s">
        <v>236</v>
      </c>
      <c r="C108" s="124" t="s">
        <v>211</v>
      </c>
      <c r="D108" s="125">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election activeCell="H18" sqref="H18"/>
    </sheetView>
  </sheetViews>
  <sheetFormatPr defaultColWidth="9.1796875" defaultRowHeight="12.5" x14ac:dyDescent="0.25"/>
  <cols>
    <col min="1" max="1" width="37.81640625" style="29" customWidth="1"/>
    <col min="2" max="2" width="20.7265625" style="29" bestFit="1" customWidth="1"/>
    <col min="3" max="3" width="14.1796875" style="106" customWidth="1"/>
    <col min="4" max="4" width="16" style="106" customWidth="1"/>
    <col min="5" max="5" width="14.1796875" style="106" customWidth="1"/>
    <col min="6" max="6" width="11.26953125" style="106" bestFit="1" customWidth="1"/>
    <col min="7" max="7" width="9.1796875" style="106"/>
    <col min="8" max="16384" width="9.1796875" style="29"/>
  </cols>
  <sheetData>
    <row r="1" spans="1:6" ht="15.5" x14ac:dyDescent="0.35">
      <c r="A1" s="28" t="s">
        <v>63</v>
      </c>
      <c r="C1" s="105"/>
      <c r="D1" s="105"/>
      <c r="E1" s="105"/>
      <c r="F1" s="105"/>
    </row>
    <row r="2" spans="1:6" x14ac:dyDescent="0.25">
      <c r="A2" s="30"/>
      <c r="B2" s="30"/>
      <c r="E2" s="105"/>
      <c r="F2" s="105"/>
    </row>
    <row r="3" spans="1:6" ht="13" x14ac:dyDescent="0.3">
      <c r="A3" s="31" t="s">
        <v>11</v>
      </c>
      <c r="B3" s="27"/>
      <c r="C3" s="105"/>
      <c r="D3" s="107" t="s">
        <v>79</v>
      </c>
      <c r="E3" s="105"/>
      <c r="F3" s="105"/>
    </row>
    <row r="4" spans="1:6" x14ac:dyDescent="0.25">
      <c r="A4" s="54" t="s">
        <v>94</v>
      </c>
      <c r="B4" s="33">
        <f>'Direct Staffing'!C34</f>
        <v>0.88302214136500001</v>
      </c>
      <c r="D4" s="108">
        <f>B4</f>
        <v>0.88302214136500001</v>
      </c>
      <c r="E4" s="105"/>
      <c r="F4" s="105"/>
    </row>
    <row r="5" spans="1:6" x14ac:dyDescent="0.25">
      <c r="A5" s="30"/>
      <c r="B5" s="30"/>
      <c r="E5" s="105"/>
      <c r="F5" s="105"/>
    </row>
    <row r="6" spans="1:6" ht="13" x14ac:dyDescent="0.3">
      <c r="A6" s="31" t="s">
        <v>31</v>
      </c>
      <c r="B6" s="27"/>
      <c r="C6" s="105"/>
      <c r="D6" s="105"/>
      <c r="E6" s="105"/>
      <c r="F6" s="105"/>
    </row>
    <row r="7" spans="1:6" x14ac:dyDescent="0.25">
      <c r="A7" s="32" t="s">
        <v>64</v>
      </c>
      <c r="B7" s="40">
        <f>'Program Plan Support'!C9</f>
        <v>5.6000000000000001E-2</v>
      </c>
      <c r="D7" s="108">
        <f>ROUND(B7*D4,4)</f>
        <v>4.9399999999999999E-2</v>
      </c>
      <c r="E7" s="105"/>
      <c r="F7" s="105"/>
    </row>
    <row r="8" spans="1:6" x14ac:dyDescent="0.25">
      <c r="A8" s="30"/>
      <c r="B8" s="30"/>
      <c r="E8" s="105"/>
      <c r="F8" s="105"/>
    </row>
    <row r="9" spans="1:6" ht="13" x14ac:dyDescent="0.3">
      <c r="A9" s="31" t="s">
        <v>1</v>
      </c>
      <c r="B9" s="27"/>
      <c r="C9" s="105"/>
      <c r="D9" s="105"/>
      <c r="E9" s="105"/>
      <c r="F9" s="105"/>
    </row>
    <row r="10" spans="1:6" x14ac:dyDescent="0.25">
      <c r="A10" s="32" t="s">
        <v>9</v>
      </c>
      <c r="B10" s="41">
        <f>'Emp. Related Exp.'!C19</f>
        <v>0.23599999999999999</v>
      </c>
      <c r="C10" s="108"/>
      <c r="D10" s="108">
        <f>ROUND(B10*(D4+D7),4)</f>
        <v>0.22009999999999999</v>
      </c>
      <c r="E10" s="105"/>
      <c r="F10" s="105"/>
    </row>
    <row r="11" spans="1:6" ht="16.5" customHeight="1" x14ac:dyDescent="0.25">
      <c r="A11" s="30"/>
      <c r="B11" s="30"/>
      <c r="E11" s="105"/>
      <c r="F11" s="105"/>
    </row>
    <row r="12" spans="1:6" ht="13" x14ac:dyDescent="0.3">
      <c r="A12" s="31" t="s">
        <v>34</v>
      </c>
      <c r="B12" s="27"/>
      <c r="C12" s="105"/>
      <c r="D12" s="105"/>
      <c r="E12" s="105"/>
      <c r="F12" s="105"/>
    </row>
    <row r="13" spans="1:6" x14ac:dyDescent="0.25">
      <c r="A13" s="34" t="s">
        <v>35</v>
      </c>
      <c r="B13" s="151">
        <f>'Client Programming &amp; Supports'!C9</f>
        <v>7.3999999999999996E-2</v>
      </c>
      <c r="D13" s="109">
        <f>ROUND((D4+D7+D10)*B13,4)</f>
        <v>8.5300000000000001E-2</v>
      </c>
      <c r="E13" s="105"/>
      <c r="F13" s="105"/>
    </row>
    <row r="14" spans="1:6" x14ac:dyDescent="0.25">
      <c r="A14" s="30"/>
      <c r="B14" s="30"/>
      <c r="E14" s="105"/>
      <c r="F14" s="105"/>
    </row>
    <row r="15" spans="1:6" ht="13" x14ac:dyDescent="0.3">
      <c r="A15" s="31" t="s">
        <v>46</v>
      </c>
      <c r="B15" s="27"/>
      <c r="C15" s="105"/>
      <c r="D15" s="105"/>
      <c r="E15" s="105"/>
      <c r="F15" s="105"/>
    </row>
    <row r="16" spans="1:6" x14ac:dyDescent="0.25">
      <c r="A16" s="34" t="s">
        <v>65</v>
      </c>
      <c r="B16" s="35">
        <f>'Program Facility'!C5</f>
        <v>0.19800000000000001</v>
      </c>
      <c r="D16" s="109">
        <f>B16</f>
        <v>0.19800000000000001</v>
      </c>
      <c r="E16" s="105"/>
      <c r="F16" s="105"/>
    </row>
    <row r="17" spans="1:8" x14ac:dyDescent="0.25">
      <c r="A17" s="30"/>
      <c r="B17" s="30"/>
      <c r="E17" s="105"/>
      <c r="F17" s="105"/>
    </row>
    <row r="18" spans="1:8" ht="13" x14ac:dyDescent="0.3">
      <c r="A18" s="31" t="s">
        <v>13</v>
      </c>
      <c r="B18" s="27"/>
      <c r="C18" s="105"/>
      <c r="D18" s="105"/>
      <c r="E18" s="105"/>
      <c r="F18" s="105"/>
    </row>
    <row r="19" spans="1:8" x14ac:dyDescent="0.25">
      <c r="A19" s="32" t="s">
        <v>12</v>
      </c>
      <c r="B19" s="42">
        <f>'Program Related Expenses'!E8</f>
        <v>0.2445</v>
      </c>
      <c r="C19" s="108"/>
      <c r="D19" s="108">
        <f>E19-(D4+D7+D10+D13+D16)</f>
        <v>0.46467785863500022</v>
      </c>
      <c r="E19" s="120">
        <f>ROUND((D4+D7+D10+D13+D16)/(1-B19),4)</f>
        <v>1.9005000000000001</v>
      </c>
      <c r="F19" s="105"/>
      <c r="G19" s="111"/>
    </row>
    <row r="20" spans="1:8" x14ac:dyDescent="0.25">
      <c r="A20" s="102"/>
      <c r="B20" s="103"/>
      <c r="C20" s="108"/>
      <c r="D20" s="108"/>
      <c r="E20" s="105"/>
      <c r="F20" s="105"/>
    </row>
    <row r="21" spans="1:8" ht="13" x14ac:dyDescent="0.3">
      <c r="A21" s="31" t="s">
        <v>222</v>
      </c>
      <c r="B21" s="55"/>
      <c r="C21" s="108"/>
      <c r="D21" s="108"/>
      <c r="E21" s="105"/>
      <c r="F21" s="105"/>
    </row>
    <row r="22" spans="1:8" x14ac:dyDescent="0.25">
      <c r="A22" s="50" t="s">
        <v>220</v>
      </c>
      <c r="B22" s="112" t="str">
        <f>'Regional Variance Factor'!B7</f>
        <v>-</v>
      </c>
      <c r="D22" s="113" t="str">
        <f>IF((B22&lt;&gt;"-"),((E19*B22)-E19),"Select County")</f>
        <v>Select County</v>
      </c>
      <c r="E22" s="105"/>
      <c r="F22" s="105"/>
      <c r="G22" s="110"/>
    </row>
    <row r="23" spans="1:8" x14ac:dyDescent="0.25">
      <c r="A23" s="88"/>
      <c r="B23" s="104"/>
      <c r="E23" s="105"/>
      <c r="F23" s="105"/>
    </row>
    <row r="24" spans="1:8" ht="13" x14ac:dyDescent="0.3">
      <c r="A24" s="36" t="s">
        <v>95</v>
      </c>
      <c r="B24" s="33" t="str">
        <f>D24</f>
        <v>Select County</v>
      </c>
      <c r="D24" s="109" t="str">
        <f>IF((B22&lt;&gt;"-"),E19+D22,"Select County")</f>
        <v>Select County</v>
      </c>
      <c r="E24" s="105"/>
      <c r="F24" s="105"/>
    </row>
    <row r="25" spans="1:8" ht="15.65" customHeight="1" x14ac:dyDescent="0.3">
      <c r="A25" s="97"/>
      <c r="B25" s="98"/>
      <c r="D25" s="109"/>
      <c r="E25" s="105"/>
      <c r="F25" s="105"/>
      <c r="H25" s="99"/>
    </row>
    <row r="26" spans="1:8" s="131" customFormat="1" ht="13" hidden="1" x14ac:dyDescent="0.3">
      <c r="A26" s="126" t="s">
        <v>84</v>
      </c>
      <c r="B26" s="127">
        <v>1</v>
      </c>
      <c r="C26" s="128"/>
      <c r="D26" s="128"/>
      <c r="E26" s="128"/>
      <c r="F26" s="128"/>
      <c r="G26" s="129"/>
      <c r="H26" s="130"/>
    </row>
    <row r="27" spans="1:8" s="131" customFormat="1" hidden="1" x14ac:dyDescent="0.25">
      <c r="A27" s="132" t="s">
        <v>97</v>
      </c>
      <c r="B27" s="133" t="str">
        <f>IF((B22&lt;&gt;"-"),G29,"-")</f>
        <v>-</v>
      </c>
      <c r="C27" s="128"/>
      <c r="D27" s="134"/>
      <c r="E27" s="128"/>
      <c r="F27" s="128"/>
      <c r="G27" s="135">
        <f>B26</f>
        <v>1</v>
      </c>
      <c r="H27" s="130"/>
    </row>
    <row r="28" spans="1:8" s="131" customFormat="1" hidden="1" x14ac:dyDescent="0.25">
      <c r="A28" s="136"/>
      <c r="B28" s="137"/>
      <c r="C28" s="128"/>
      <c r="D28" s="138"/>
      <c r="E28" s="139"/>
      <c r="F28" s="139"/>
      <c r="G28" s="129">
        <f>1-G27</f>
        <v>0</v>
      </c>
      <c r="H28" s="130"/>
    </row>
    <row r="29" spans="1:8" ht="13" x14ac:dyDescent="0.3">
      <c r="A29" s="31" t="s">
        <v>237</v>
      </c>
      <c r="G29" s="114" t="e">
        <f>((B24+B22)*G27)-(B24+B22)</f>
        <v>#VALUE!</v>
      </c>
      <c r="H29" s="99"/>
    </row>
    <row r="30" spans="1:8" x14ac:dyDescent="0.25">
      <c r="A30" s="50" t="s">
        <v>107</v>
      </c>
      <c r="B30" s="35" t="str">
        <f>IF((B22&lt;&gt;"-"),B24+B27,"County")</f>
        <v>County</v>
      </c>
      <c r="H30" s="100"/>
    </row>
    <row r="32" spans="1:8" ht="13" hidden="1" x14ac:dyDescent="0.3">
      <c r="A32" s="31" t="s">
        <v>105</v>
      </c>
      <c r="B32" s="55">
        <v>0.01</v>
      </c>
    </row>
    <row r="33" spans="1:2" hidden="1" x14ac:dyDescent="0.25">
      <c r="A33" s="50" t="s">
        <v>106</v>
      </c>
      <c r="B33" s="35" t="str">
        <f>IF((B22&lt;&gt;"-"),B32*B30,"-")</f>
        <v>-</v>
      </c>
    </row>
    <row r="34" spans="1:2" hidden="1" x14ac:dyDescent="0.25"/>
    <row r="35" spans="1:2" ht="13" hidden="1" x14ac:dyDescent="0.3">
      <c r="A35" s="31" t="s">
        <v>111</v>
      </c>
    </row>
    <row r="36" spans="1:2" hidden="1" x14ac:dyDescent="0.25">
      <c r="A36" s="50" t="s">
        <v>108</v>
      </c>
      <c r="B36" s="35" t="str">
        <f>IF(B22&lt;&gt;"-",B33+B30,"-")</f>
        <v>-</v>
      </c>
    </row>
    <row r="37" spans="1:2" hidden="1" x14ac:dyDescent="0.25"/>
    <row r="38" spans="1:2" ht="13" hidden="1" x14ac:dyDescent="0.3">
      <c r="A38" s="31" t="s">
        <v>109</v>
      </c>
      <c r="B38" s="55">
        <v>0.05</v>
      </c>
    </row>
    <row r="39" spans="1:2" hidden="1" x14ac:dyDescent="0.25">
      <c r="A39" s="50" t="s">
        <v>106</v>
      </c>
      <c r="B39" s="35" t="str">
        <f>IF(B22&lt;&gt;"-",B38*B36,"-")</f>
        <v>-</v>
      </c>
    </row>
    <row r="40" spans="1:2" hidden="1" x14ac:dyDescent="0.25"/>
    <row r="41" spans="1:2" ht="13" hidden="1" x14ac:dyDescent="0.3">
      <c r="A41" s="31" t="s">
        <v>110</v>
      </c>
    </row>
    <row r="42" spans="1:2" hidden="1" x14ac:dyDescent="0.25">
      <c r="A42" s="50" t="s">
        <v>108</v>
      </c>
      <c r="B42" s="35" t="str">
        <f>IF(B22&lt;&gt;"-",B39+B36,"-")</f>
        <v>-</v>
      </c>
    </row>
    <row r="43" spans="1:2" hidden="1" x14ac:dyDescent="0.25"/>
    <row r="44" spans="1:2" ht="13" hidden="1" x14ac:dyDescent="0.3">
      <c r="A44" s="31" t="s">
        <v>112</v>
      </c>
      <c r="B44" s="55">
        <v>0.01</v>
      </c>
    </row>
    <row r="45" spans="1:2" hidden="1" x14ac:dyDescent="0.25">
      <c r="A45" s="50" t="s">
        <v>106</v>
      </c>
      <c r="B45" s="35" t="str">
        <f>IF(B22&lt;&gt;"-",B44*B42,"-")</f>
        <v>-</v>
      </c>
    </row>
    <row r="46" spans="1:2" hidden="1" x14ac:dyDescent="0.25"/>
    <row r="47" spans="1:2" ht="13" hidden="1" x14ac:dyDescent="0.3">
      <c r="A47" s="31" t="s">
        <v>113</v>
      </c>
    </row>
    <row r="48" spans="1:2" hidden="1" x14ac:dyDescent="0.25">
      <c r="A48" s="50" t="s">
        <v>108</v>
      </c>
      <c r="B48" s="35" t="str">
        <f>IF(B22&lt;&gt;"-",B45+B42,"Select County")</f>
        <v>Select County</v>
      </c>
    </row>
  </sheetData>
  <sheetProtection password="C10A" sheet="1"/>
  <phoneticPr fontId="2" type="noConversion"/>
  <dataValidations xWindow="448" yWindow="650"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B25"/>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dataValidation allowBlank="1" showInputMessage="1" showErrorMessage="1" prompt="Budget Neutrality Rate" sqref="B26 B21"/>
    <dataValidation allowBlank="1" showInputMessage="1" showErrorMessage="1" prompt="Unit Budget Neutrality formula is Total Unit Rate minus Unit Rate" sqref="B27:B28"/>
    <dataValidation allowBlank="1" showInputMessage="1" showErrorMessage="1" prompt="Post COLA Rate formula is Original Rate plus Cost of Living Adjustment" sqref="B36 B42 B48"/>
    <dataValidation allowBlank="1" showInputMessage="1" showErrorMessage="1" prompt="4/1/2014 COLA Increase " sqref="B32 B38 B44"/>
    <dataValidation allowBlank="1" showInputMessage="1" showErrorMessage="1" prompt="Cost of Living Adjustment formula is Original Total Unit Rate multiplied by COLA" sqref="B45"/>
    <dataValidation allowBlank="1" showInputMessage="1" showErrorMessage="1" prompt="Total Unit Rate formula is Budget Neutrality Rate times Unit Rate " sqref="B30"/>
    <dataValidation allowBlank="1" showInputMessage="1" showErrorMessage="1" prompt="Unit Regional Variance formula is Unit Rate times Regional Variance Factor" sqref="B23"/>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Unit Rate multiplied by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A2" sqref="A2:IV4"/>
    </sheetView>
  </sheetViews>
  <sheetFormatPr defaultRowHeight="12.5" x14ac:dyDescent="0.25"/>
  <cols>
    <col min="2" max="2" width="51.453125" style="89" customWidth="1"/>
  </cols>
  <sheetData>
    <row r="1" spans="1:3" ht="26.25" customHeight="1" x14ac:dyDescent="0.25"/>
    <row r="2" spans="1:3" hidden="1" x14ac:dyDescent="0.25"/>
    <row r="3" spans="1:3" ht="37.5" hidden="1" x14ac:dyDescent="0.25">
      <c r="A3" s="150">
        <v>44197</v>
      </c>
      <c r="B3" s="89" t="s">
        <v>250</v>
      </c>
      <c r="C3" t="s">
        <v>251</v>
      </c>
    </row>
    <row r="4" spans="1:3" hidden="1" x14ac:dyDescent="0.25">
      <c r="A4" s="142">
        <v>44378</v>
      </c>
      <c r="B4" s="141" t="s">
        <v>252</v>
      </c>
      <c r="C4" t="s">
        <v>253</v>
      </c>
    </row>
    <row r="5" spans="1:3" x14ac:dyDescent="0.25">
      <c r="A5" s="140"/>
      <c r="B5" s="141"/>
      <c r="C5" s="140"/>
    </row>
    <row r="6" spans="1:3" x14ac:dyDescent="0.25">
      <c r="A6" s="140"/>
      <c r="B6" s="141"/>
      <c r="C6" s="140"/>
    </row>
    <row r="7" spans="1:3" x14ac:dyDescent="0.25">
      <c r="A7" s="140"/>
      <c r="B7" s="141"/>
      <c r="C7" s="140"/>
    </row>
    <row r="8" spans="1:3" x14ac:dyDescent="0.25">
      <c r="A8" s="140"/>
      <c r="B8" s="141"/>
      <c r="C8" s="140"/>
    </row>
    <row r="9" spans="1:3" x14ac:dyDescent="0.25">
      <c r="A9" s="140"/>
      <c r="B9" s="141"/>
      <c r="C9" s="140"/>
    </row>
    <row r="10" spans="1:3" x14ac:dyDescent="0.25">
      <c r="A10" s="140"/>
      <c r="B10" s="141"/>
      <c r="C10" s="140"/>
    </row>
    <row r="11" spans="1:3" x14ac:dyDescent="0.25">
      <c r="A11" s="140"/>
      <c r="B11" s="141"/>
      <c r="C11" s="140"/>
    </row>
    <row r="12" spans="1:3" x14ac:dyDescent="0.25">
      <c r="A12" s="140"/>
      <c r="B12" s="141"/>
      <c r="C12" s="140"/>
    </row>
    <row r="13" spans="1:3" x14ac:dyDescent="0.25">
      <c r="A13" s="140"/>
      <c r="B13" s="141"/>
      <c r="C13" s="140"/>
    </row>
    <row r="14" spans="1:3" x14ac:dyDescent="0.25">
      <c r="A14" s="140"/>
      <c r="B14" s="141"/>
      <c r="C14" s="140"/>
    </row>
    <row r="15" spans="1:3" x14ac:dyDescent="0.25">
      <c r="A15" s="140"/>
      <c r="B15" s="141"/>
      <c r="C15" s="140"/>
    </row>
    <row r="16" spans="1:3" x14ac:dyDescent="0.25">
      <c r="A16" s="140"/>
      <c r="B16" s="141"/>
      <c r="C16" s="140"/>
    </row>
    <row r="17" spans="1:3" x14ac:dyDescent="0.25">
      <c r="A17" s="140"/>
      <c r="B17" s="141"/>
      <c r="C17" s="140"/>
    </row>
    <row r="18" spans="1:3" x14ac:dyDescent="0.25">
      <c r="A18" s="140"/>
      <c r="B18" s="141"/>
      <c r="C18" s="140"/>
    </row>
    <row r="19" spans="1:3" x14ac:dyDescent="0.25">
      <c r="A19" s="140"/>
      <c r="B19" s="141"/>
      <c r="C19" s="140"/>
    </row>
    <row r="20" spans="1:3" x14ac:dyDescent="0.25">
      <c r="A20" s="140"/>
      <c r="B20" s="141"/>
      <c r="C20" s="140"/>
    </row>
    <row r="21" spans="1:3" x14ac:dyDescent="0.25">
      <c r="A21" s="142"/>
      <c r="B21" s="141"/>
      <c r="C21" s="140"/>
    </row>
    <row r="22" spans="1:3" x14ac:dyDescent="0.25">
      <c r="A22" s="142"/>
      <c r="B22" s="141"/>
      <c r="C22" s="140"/>
    </row>
    <row r="23" spans="1:3" x14ac:dyDescent="0.25">
      <c r="A23" s="142"/>
      <c r="B23" s="141"/>
      <c r="C23" s="140"/>
    </row>
    <row r="24" spans="1:3" x14ac:dyDescent="0.25">
      <c r="A24" s="142"/>
      <c r="B24" s="141"/>
      <c r="C24" s="140"/>
    </row>
    <row r="25" spans="1:3" x14ac:dyDescent="0.25">
      <c r="A25" s="142"/>
      <c r="B25" s="141"/>
      <c r="C25" s="140"/>
    </row>
    <row r="26" spans="1:3" x14ac:dyDescent="0.25">
      <c r="A26" s="142"/>
      <c r="B26" s="141"/>
      <c r="C26" s="140"/>
    </row>
    <row r="27" spans="1:3" x14ac:dyDescent="0.25">
      <c r="A27" s="142"/>
      <c r="B27" s="141"/>
      <c r="C27" s="140"/>
    </row>
    <row r="28" spans="1:3" x14ac:dyDescent="0.25">
      <c r="A28" s="142"/>
      <c r="B28" s="141"/>
      <c r="C28" s="140"/>
    </row>
    <row r="29" spans="1:3" x14ac:dyDescent="0.25">
      <c r="A29" s="142"/>
      <c r="B29" s="143"/>
      <c r="C29" s="144"/>
    </row>
    <row r="30" spans="1:3" x14ac:dyDescent="0.25">
      <c r="A30" s="142"/>
      <c r="B30" s="141"/>
      <c r="C30" s="144"/>
    </row>
    <row r="31" spans="1:3" x14ac:dyDescent="0.25">
      <c r="A31" s="142"/>
      <c r="B31" s="141"/>
      <c r="C31" s="144"/>
    </row>
    <row r="32" spans="1:3" x14ac:dyDescent="0.25">
      <c r="A32" s="142"/>
      <c r="B32" s="143"/>
      <c r="C32" s="144"/>
    </row>
    <row r="33" spans="1:3" x14ac:dyDescent="0.25">
      <c r="A33" s="142"/>
      <c r="B33" s="141"/>
      <c r="C33" s="144"/>
    </row>
    <row r="34" spans="1:3" x14ac:dyDescent="0.25">
      <c r="A34" s="142"/>
      <c r="B34" s="144"/>
      <c r="C34" s="144"/>
    </row>
    <row r="35" spans="1:3" x14ac:dyDescent="0.25">
      <c r="A35" s="144"/>
      <c r="B35" s="143"/>
      <c r="C35" s="140"/>
    </row>
    <row r="36" spans="1:3" x14ac:dyDescent="0.25">
      <c r="A36" s="140"/>
      <c r="B36" s="141"/>
      <c r="C36" s="140"/>
    </row>
    <row r="37" spans="1:3" x14ac:dyDescent="0.25">
      <c r="A37" s="140"/>
      <c r="B37" s="141"/>
      <c r="C37" s="140"/>
    </row>
    <row r="38" spans="1:3" x14ac:dyDescent="0.25">
      <c r="A38" s="140"/>
      <c r="B38" s="141"/>
      <c r="C38" s="140"/>
    </row>
    <row r="39" spans="1:3" x14ac:dyDescent="0.25">
      <c r="A39" s="140"/>
      <c r="B39" s="141"/>
      <c r="C39" s="140"/>
    </row>
    <row r="40" spans="1:3" x14ac:dyDescent="0.25">
      <c r="A40" s="140"/>
      <c r="B40" s="141"/>
      <c r="C40" s="140"/>
    </row>
    <row r="41" spans="1:3" x14ac:dyDescent="0.25">
      <c r="A41" s="140"/>
      <c r="B41" s="141"/>
      <c r="C41" s="140"/>
    </row>
    <row r="42" spans="1:3" x14ac:dyDescent="0.25">
      <c r="A42" s="140"/>
      <c r="B42" s="141"/>
      <c r="C42" s="140"/>
    </row>
    <row r="43" spans="1:3" x14ac:dyDescent="0.25">
      <c r="A43" s="140"/>
      <c r="B43" s="141"/>
      <c r="C43" s="140"/>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369E7E0D-D6BF-4D7B-8F45-8935C726ACE5}">
  <ds:schemaRefs>
    <ds:schemaRef ds:uri="http://schemas.microsoft.com/sharepoint/events"/>
  </ds:schemaRefs>
</ds:datastoreItem>
</file>

<file path=customXml/itemProps2.xml><?xml version="1.0" encoding="utf-8"?>
<ds:datastoreItem xmlns:ds="http://schemas.openxmlformats.org/officeDocument/2006/customXml" ds:itemID="{26BF9B3B-3D9F-4815-87E9-87E3092A3723}">
  <ds:schemaRefs>
    <ds:schemaRef ds:uri="http://schemas.microsoft.com/sharepoint/v3/contenttype/forms"/>
  </ds:schemaRefs>
</ds:datastoreItem>
</file>

<file path=customXml/itemProps3.xml><?xml version="1.0" encoding="utf-8"?>
<ds:datastoreItem xmlns:ds="http://schemas.openxmlformats.org/officeDocument/2006/customXml" ds:itemID="{A8756581-4624-4712-B7A2-FAB6A323D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B7ABABC-B88A-4F95-867E-020C67994B06}">
  <ds:schemaRefs>
    <ds:schemaRef ds:uri="http://schemas.microsoft.com/office/2006/metadata/longProperties"/>
  </ds:schemaRefs>
</ds:datastoreItem>
</file>

<file path=customXml/itemProps5.xml><?xml version="1.0" encoding="utf-8"?>
<ds:datastoreItem xmlns:ds="http://schemas.openxmlformats.org/officeDocument/2006/customXml" ds:itemID="{E96FF144-0EFF-43E7-8D30-EEA9105ED121}">
  <ds:schemaRefs>
    <ds:schemaRef ds:uri="http://schemas.microsoft.com/office/2006/documentManagement/types"/>
    <ds:schemaRef ds:uri="http://purl.org/dc/elements/1.1/"/>
    <ds:schemaRef ds:uri="http://schemas.microsoft.com/office/infopath/2007/PartnerControls"/>
    <ds:schemaRef ds:uri="0cdeeaad-74a8-4021-893f-c7b31297a14c"/>
    <ds:schemaRef ds:uri="http://schemas.openxmlformats.org/package/2006/metadata/core-properties"/>
    <ds:schemaRef ds:uri="http://purl.org/dc/terms/"/>
    <ds:schemaRef ds:uri="39dc04e4-1dc7-4207-b25c-d7db9724c689"/>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Adult Day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AdultDayCare15Minv13</dc:title>
  <dc:creator>pwmfb67</dc:creator>
  <cp:lastModifiedBy>Lawson, Angie</cp:lastModifiedBy>
  <cp:lastPrinted>2013-08-19T19:00:56Z</cp:lastPrinted>
  <dcterms:created xsi:type="dcterms:W3CDTF">2009-10-20T14:58:44Z</dcterms:created>
  <dcterms:modified xsi:type="dcterms:W3CDTF">2021-07-02T13:44:45Z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