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codeName="ThisWorkbook" defaultThemeVersion="124226"/>
  <mc:AlternateContent xmlns:mc="http://schemas.openxmlformats.org/markup-compatibility/2006">
    <mc:Choice Requires="x15">
      <x15ac:absPath xmlns:x15ac="http://schemas.microsoft.com/office/spreadsheetml/2010/11/ac" url="C:\Users\pwtls03\Downloads\"/>
    </mc:Choice>
  </mc:AlternateContent>
  <bookViews>
    <workbookView xWindow="0" yWindow="0" windowWidth="15360" windowHeight="8535" tabRatio="813"/>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Family Basic Rate Totals" sheetId="9" r:id="rId7"/>
    <sheet name="Version" sheetId="11" state="hidden" r:id="rId8"/>
  </sheets>
  <definedNames>
    <definedName name="_xlnm._FilterDatabase" localSheetId="0" hidden="1">'Direct Staffing'!$A$9:$E$10</definedName>
    <definedName name="Budget_Neutrality">'Res Family Basic Rate Totals'!$A$26:$B$27</definedName>
    <definedName name="columntitleregion1.b30.g36.1">'Direct Staffing'!$A$49:$E$51</definedName>
    <definedName name="Customization">'Direct Staffing'!$A$48:$F$51</definedName>
    <definedName name="Individual_Remote">'Direct Staffing'!$A$40:$E$42</definedName>
    <definedName name="IndividualAmountForRemoteStaff">'Direct Staffing'!$A$28:$E$30</definedName>
    <definedName name="IndividualAmountForSharedStaff">'Direct Staffing'!$A$12:$E$14</definedName>
    <definedName name="IndividualOnsiteStaff">'Direct Staffing'!$A$32:$E$38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Family Basic Rate Totals'!$A$1:$D$26</definedName>
    <definedName name="_xlnm.Print_Area" localSheetId="2">Transportation!$A$1:$F$22</definedName>
    <definedName name="ReliefStaff">'Direct Staffing'!$A$61:$F$64</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Staffing'!$A$33:$E$38</definedName>
    <definedName name="TotalRemoteStaff">'Direct Staffing'!$A$70:$C$71</definedName>
    <definedName name="TotalStaffing">'Direct Staffing'!$A$67:$C$68</definedName>
    <definedName name="Transportation">Transportation!$A$4:$D$8</definedName>
  </definedNames>
  <calcPr calcId="162913"/>
</workbook>
</file>

<file path=xl/calcChain.xml><?xml version="1.0" encoding="utf-8"?>
<calcChain xmlns="http://schemas.openxmlformats.org/spreadsheetml/2006/main">
  <c r="J15" i="10" l="1"/>
  <c r="J14" i="10"/>
  <c r="J13" i="10"/>
  <c r="J12" i="10"/>
  <c r="J11" i="10"/>
  <c r="J10" i="10"/>
  <c r="C6" i="10" l="1"/>
  <c r="B26" i="10" s="1"/>
  <c r="E26" i="10" s="1"/>
  <c r="A30" i="10" s="1"/>
  <c r="D30" i="10" s="1"/>
  <c r="B7" i="12"/>
  <c r="B22" i="9" s="1"/>
  <c r="B5" i="12"/>
  <c r="D50" i="10"/>
  <c r="E50" i="10"/>
  <c r="C30" i="10"/>
  <c r="D22" i="10"/>
  <c r="D18" i="10"/>
  <c r="E59" i="10"/>
  <c r="E55" i="10"/>
  <c r="E38" i="10"/>
  <c r="C12" i="4"/>
  <c r="C13" i="4"/>
  <c r="B13" i="9"/>
  <c r="D13" i="9"/>
  <c r="B16" i="9"/>
  <c r="D16" i="9" s="1"/>
  <c r="E13" i="6"/>
  <c r="E16" i="6"/>
  <c r="B19" i="9"/>
  <c r="E6" i="6"/>
  <c r="C19" i="3"/>
  <c r="B10" i="9"/>
  <c r="D46" i="10"/>
  <c r="E46" i="10"/>
  <c r="C10" i="10"/>
  <c r="E10" i="10"/>
  <c r="A14" i="10" s="1"/>
  <c r="D14" i="10" s="1"/>
  <c r="C34" i="10"/>
  <c r="E34" i="10" s="1"/>
  <c r="B44" i="9" l="1"/>
  <c r="B37" i="9"/>
  <c r="B42" i="9"/>
  <c r="B27" i="9"/>
  <c r="D22" i="9"/>
  <c r="B29" i="9"/>
  <c r="B34" i="9"/>
  <c r="B39" i="9"/>
  <c r="D24" i="9"/>
  <c r="B24" i="9" s="1"/>
  <c r="B32" i="9"/>
  <c r="F63" i="10"/>
  <c r="F64" i="10" s="1"/>
  <c r="C68" i="10" s="1"/>
  <c r="B4" i="9" s="1"/>
  <c r="D10" i="9" s="1"/>
  <c r="C42" i="10"/>
  <c r="E42" i="10" s="1"/>
  <c r="C71" i="10" s="1"/>
  <c r="B7" i="9" s="1"/>
  <c r="D7" i="9" s="1"/>
  <c r="D4" i="9" l="1"/>
  <c r="E19" i="9" s="1"/>
  <c r="D19" i="9" s="1"/>
</calcChain>
</file>

<file path=xl/sharedStrings.xml><?xml version="1.0" encoding="utf-8"?>
<sst xmlns="http://schemas.openxmlformats.org/spreadsheetml/2006/main" count="407" uniqueCount="279">
  <si>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</si>
  <si>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</si>
  <si>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</si>
  <si>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</si>
  <si>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</si>
  <si>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</si>
  <si>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</si>
  <si>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</si>
  <si>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</si>
  <si>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</si>
  <si>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</si>
  <si>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</si>
  <si>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</si>
  <si>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</si>
  <si>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</si>
  <si>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</si>
  <si>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</si>
  <si>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</si>
  <si>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</si>
  <si>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</si>
  <si>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</si>
  <si>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</si>
  <si>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</si>
  <si>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</si>
  <si>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</si>
  <si>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</si>
  <si>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</si>
  <si>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</si>
  <si>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</si>
  <si>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</si>
  <si>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</si>
  <si>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</si>
  <si>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</si>
  <si>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</si>
  <si>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</si>
  <si>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</si>
  <si>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</si>
  <si>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</si>
  <si>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</si>
  <si>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</si>
  <si>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</si>
  <si>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</si>
  <si>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</si>
  <si>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</si>
  <si>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</si>
  <si>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</si>
  <si>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</si>
  <si>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</si>
  <si>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</si>
  <si>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</si>
  <si>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</si>
  <si>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</si>
  <si>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</si>
  <si>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</si>
  <si>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</si>
  <si>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</si>
  <si>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</si>
  <si>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</si>
  <si>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</si>
  <si>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</si>
  <si>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</si>
  <si>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</si>
  <si>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</si>
  <si>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</si>
  <si>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</si>
  <si>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</si>
  <si>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</si>
  <si>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</si>
  <si>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</si>
  <si>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</si>
  <si>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</si>
  <si>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</si>
  <si>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 xml:space="preserve">Adapted vehicle with lift </t>
  </si>
  <si>
    <t>Hours per Day</t>
  </si>
  <si>
    <t>Amount Per Day</t>
  </si>
  <si>
    <t>Amount per Day</t>
  </si>
  <si>
    <t>Remote Shared Staff</t>
  </si>
  <si>
    <t>Total Remote Shared Staff Amount</t>
  </si>
  <si>
    <t>Total individual amount for Remote Shared Staff</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</si>
  <si>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</si>
  <si>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</si>
  <si>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</si>
  <si>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</si>
  <si>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</si>
  <si>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</si>
  <si>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</si>
  <si>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</si>
  <si>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</si>
  <si>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</si>
  <si>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</si>
  <si>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</si>
  <si>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</si>
  <si>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</si>
  <si>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</si>
  <si>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</si>
  <si>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</si>
  <si>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</si>
  <si>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</si>
  <si>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</si>
  <si>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</si>
  <si>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</si>
  <si>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</si>
  <si>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</si>
  <si>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</si>
  <si>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</si>
  <si>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</si>
  <si>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</si>
  <si>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</si>
  <si>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</si>
  <si>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</si>
  <si>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</si>
  <si>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</si>
  <si>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</si>
  <si>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</si>
  <si>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</si>
  <si>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</si>
  <si>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</si>
  <si>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</si>
  <si>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</si>
  <si>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</si>
  <si>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</si>
  <si>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</si>
  <si>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</si>
  <si>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</si>
  <si>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</si>
  <si>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</si>
  <si>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</si>
  <si>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</si>
  <si>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</si>
  <si>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</si>
  <si>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</si>
  <si>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</si>
  <si>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</si>
  <si>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</si>
  <si>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</si>
  <si>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</si>
  <si>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</si>
  <si>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</si>
  <si>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</si>
  <si>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</si>
  <si>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</si>
  <si>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</si>
  <si>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</si>
  <si>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</si>
  <si>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</si>
  <si>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</si>
  <si>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</si>
  <si>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</si>
  <si>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</si>
  <si>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</si>
  <si>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</si>
  <si>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</si>
  <si>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</si>
  <si>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</si>
  <si>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</si>
  <si>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</si>
  <si>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</si>
  <si>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</si>
  <si>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</si>
  <si>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</si>
  <si>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</si>
  <si>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</si>
  <si>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</si>
  <si>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</si>
  <si>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</si>
  <si>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</si>
  <si>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</si>
  <si>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</si>
  <si>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</si>
  <si>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</si>
  <si>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</si>
  <si>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</si>
  <si>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</si>
  <si>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</si>
  <si>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</si>
  <si>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</si>
  <si>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</si>
  <si>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</si>
  <si>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</si>
  <si>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</si>
  <si>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</si>
  <si>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</si>
  <si>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</si>
  <si>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</si>
  <si>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</si>
  <si>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</si>
  <si>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</si>
  <si>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</si>
  <si>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</si>
  <si>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</si>
  <si>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</si>
  <si>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</si>
  <si>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</si>
  <si>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</si>
  <si>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</si>
  <si>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</si>
  <si>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</si>
  <si>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</si>
  <si>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</si>
  <si>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</si>
  <si>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</si>
  <si>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</si>
  <si>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</si>
  <si>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</si>
  <si>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</si>
  <si>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</si>
  <si>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</si>
  <si>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</si>
  <si>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</si>
  <si>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</si>
  <si>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</si>
  <si>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</si>
  <si>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</si>
  <si>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</si>
  <si>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</si>
  <si>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</si>
  <si>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</si>
  <si>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Step 9. Add % to cover Supervision</t>
  </si>
  <si>
    <t>Step 10. Add staffing customization option to meet high level needs provided to an individual</t>
  </si>
  <si>
    <t>Step 11. Add hours for RN</t>
  </si>
  <si>
    <t>Step 12. Add hours for LPN</t>
  </si>
  <si>
    <t>Step 13. Add % to cover vacation, sick and training for direct staff hours</t>
  </si>
  <si>
    <t>Step 15. Calculate Remote Staff</t>
  </si>
  <si>
    <t>Step 14. Calculate Total Staffing</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</si>
  <si>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</si>
  <si>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</si>
  <si>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</si>
  <si>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</si>
  <si>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</si>
  <si>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</si>
  <si>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</si>
  <si>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</si>
  <si>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</si>
  <si>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</si>
  <si>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</si>
  <si>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FRAMEWORK FOR Residential Support Services Family Basic</t>
  </si>
  <si>
    <t xml:space="preserve">Total # of Residents Requiring Shared Awake Overnight Staff </t>
  </si>
  <si>
    <t>Updates to Wages/Component Value for 7.1.17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</si>
  <si>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</si>
  <si>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</si>
  <si>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</si>
  <si>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</si>
  <si>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</si>
  <si>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</si>
  <si>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</si>
  <si>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</si>
  <si>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</si>
  <si>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</si>
  <si>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</si>
  <si>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</si>
  <si>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Daily Rate</t>
  </si>
  <si>
    <t>Remove COLA</t>
  </si>
  <si>
    <t>Version 9</t>
  </si>
  <si>
    <t>Version 10</t>
  </si>
  <si>
    <t>Incrase Asleep Wage and RN Wage, and Supevisor Wage, change to asleep overnight add-on</t>
  </si>
  <si>
    <t>Version 11</t>
  </si>
  <si>
    <t>Update minimum wage for Asleep, hidden BNF</t>
  </si>
  <si>
    <t>Version 12</t>
  </si>
  <si>
    <t>Added Competitive Workforce Factor</t>
  </si>
  <si>
    <t>Base hourly wage</t>
  </si>
  <si>
    <t>Competitive Workforce Factor (CWF)</t>
  </si>
  <si>
    <t>Total wage per hour of service</t>
  </si>
  <si>
    <t>Step 1. Determine wage for direct care worker</t>
  </si>
  <si>
    <r>
      <t xml:space="preserve">Step 2. Add hours for </t>
    </r>
    <r>
      <rPr>
        <b/>
        <sz val="10"/>
        <color indexed="8"/>
        <rFont val="Arial"/>
        <family val="2"/>
      </rPr>
      <t>SHARED DAYTIME</t>
    </r>
    <r>
      <rPr>
        <b/>
        <sz val="10"/>
        <rFont val="Arial"/>
        <family val="2"/>
      </rPr>
      <t xml:space="preserve"> On-Site Awake staff</t>
    </r>
  </si>
  <si>
    <t>Step 3. Enter Number of Residents</t>
  </si>
  <si>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</si>
  <si>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</si>
  <si>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</si>
  <si>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Step 7. Enter number of individuals who recieve remote shared staff</t>
  </si>
  <si>
    <t>Step 10. Add hours for INDIVIDUAL REMOTE Hours</t>
  </si>
  <si>
    <t xml:space="preserve">Step 9. Add hours for INDIVIDUAL on-site asleep staff </t>
  </si>
  <si>
    <t xml:space="preserve">Step 8. Add hours for INDIVIDUAL on-site awake staff </t>
  </si>
  <si>
    <t>No Change</t>
  </si>
  <si>
    <t>Version 13</t>
  </si>
  <si>
    <t>Version 14</t>
  </si>
  <si>
    <t>New value for direct care staff wage component,
asleep staff wage component,
supervisor wage,
RN wage,
LPN wage,
client programming and support component,
transportation components</t>
  </si>
  <si>
    <t>Version 15</t>
  </si>
  <si>
    <t xml:space="preserve">Regional Variance Factor value updated,
Rounding formula used for Direct Staffing tab
</t>
  </si>
  <si>
    <t>Version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</si>
</sst>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5"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b/>
      <sz val="10"/>
      <color theme="1"/>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4">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0" borderId="0" xfId="0" applyFill="1" applyBorder="1" applyAlignment="1" applyProtection="1">
      <alignment horizontal="center"/>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44" fontId="1" fillId="0" borderId="0" xfId="2" applyFill="1" applyBorder="1" applyProtection="1"/>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0" fontId="1" fillId="3" borderId="0" xfId="0" applyFont="1" applyFill="1"/>
    <xf numFmtId="0" fontId="0" fillId="0" borderId="0" xfId="0" applyAlignment="1">
      <alignment horizontal="left"/>
    </xf>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44" fontId="0" fillId="0" borderId="0" xfId="2" applyFont="1"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39" fontId="1" fillId="6" borderId="1" xfId="1" applyNumberFormat="1" applyFont="1" applyFill="1" applyBorder="1" applyAlignment="1" applyProtection="1">
      <alignment horizontal="right" vertical="top"/>
      <protection locked="0"/>
    </xf>
    <xf numFmtId="0" fontId="1" fillId="6" borderId="1" xfId="1" applyNumberFormat="1" applyFont="1" applyFill="1" applyBorder="1" applyAlignment="1" applyProtection="1">
      <alignment horizontal="right" vertical="top"/>
      <protection locked="0"/>
    </xf>
    <xf numFmtId="0" fontId="1" fillId="2" borderId="7" xfId="0" applyFont="1" applyFill="1" applyBorder="1" applyAlignment="1" applyProtection="1">
      <alignment wrapText="1"/>
    </xf>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14" fontId="0" fillId="0" borderId="0" xfId="0" applyNumberFormat="1" applyProtection="1">
      <protection hidden="1"/>
    </xf>
    <xf numFmtId="0" fontId="0" fillId="0" borderId="0" xfId="0" applyAlignment="1" applyProtection="1">
      <alignment wrapText="1"/>
      <protection hidden="1"/>
    </xf>
    <xf numFmtId="0" fontId="1" fillId="0" borderId="0" xfId="0" applyFont="1" applyAlignment="1" applyProtection="1">
      <alignment wrapText="1"/>
      <protection hidden="1"/>
    </xf>
    <xf numFmtId="0" fontId="1" fillId="0" borderId="0" xfId="0" applyFont="1" applyProtection="1">
      <protection hidden="1"/>
    </xf>
    <xf numFmtId="0" fontId="9" fillId="0" borderId="0" xfId="0" applyFont="1" applyAlignment="1">
      <alignment horizontal="center" wrapText="1"/>
    </xf>
    <xf numFmtId="0" fontId="1" fillId="0" borderId="0" xfId="0" applyFont="1"/>
    <xf numFmtId="0" fontId="3" fillId="3" borderId="0" xfId="4" applyFont="1" applyFill="1"/>
    <xf numFmtId="10" fontId="1" fillId="3" borderId="1" xfId="5" applyNumberFormat="1" applyFont="1" applyFill="1" applyBorder="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8" fontId="1" fillId="6" borderId="0" xfId="2" applyNumberFormat="1" applyFont="1" applyFill="1" applyBorder="1" applyAlignment="1" applyProtection="1">
      <alignment horizontal="right" vertical="top"/>
    </xf>
    <xf numFmtId="0" fontId="6" fillId="6" borderId="0" xfId="0" applyFont="1" applyFill="1" applyBorder="1" applyProtection="1"/>
    <xf numFmtId="0" fontId="0" fillId="6" borderId="0" xfId="0" applyFill="1" applyBorder="1" applyProtection="1"/>
    <xf numFmtId="14" fontId="0" fillId="0" borderId="0" xfId="0" applyNumberFormat="1"/>
    <xf numFmtId="0" fontId="0" fillId="0" borderId="0" xfId="0" applyAlignment="1">
      <alignment wrapText="1"/>
    </xf>
    <xf numFmtId="44" fontId="1" fillId="0" borderId="1" xfId="3" applyFont="1" applyFill="1" applyBorder="1"/>
    <xf numFmtId="44" fontId="1" fillId="0" borderId="1" xfId="2" applyFont="1" applyFill="1" applyBorder="1" applyAlignment="1" applyProtection="1"/>
    <xf numFmtId="8" fontId="1" fillId="0" borderId="1" xfId="2" applyNumberFormat="1" applyFont="1" applyFill="1" applyBorder="1" applyAlignment="1" applyProtection="1">
      <alignment horizontal="right" vertical="top"/>
    </xf>
    <xf numFmtId="44" fontId="1" fillId="0" borderId="1" xfId="2" applyFont="1" applyFill="1" applyBorder="1" applyAlignment="1" applyProtection="1">
      <alignment horizontal="left"/>
    </xf>
    <xf numFmtId="44" fontId="0" fillId="0" borderId="11" xfId="2" applyNumberFormat="1"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167" fontId="0" fillId="11" borderId="15" xfId="0" applyNumberFormat="1" applyFill="1" applyBorder="1"/>
    <xf numFmtId="167" fontId="0" fillId="11" borderId="16" xfId="0" applyNumberFormat="1" applyFill="1" applyBorder="1"/>
    <xf numFmtId="167" fontId="0" fillId="11" borderId="1" xfId="0" applyNumberFormat="1" applyFill="1" applyBorder="1"/>
    <xf numFmtId="0" fontId="0" fillId="11" borderId="1" xfId="0" applyFill="1" applyBorder="1"/>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3" fillId="6" borderId="4" xfId="0" applyFont="1" applyFill="1" applyBorder="1" applyAlignment="1" applyProtection="1">
      <alignment horizontal="left"/>
    </xf>
    <xf numFmtId="0" fontId="14" fillId="6" borderId="0" xfId="0" applyFont="1" applyFill="1" applyBorder="1" applyAlignment="1" applyProtection="1">
      <alignment horizontal="left"/>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0" fontId="1" fillId="2" borderId="1" xfId="0" applyFont="1" applyFill="1" applyBorder="1" applyAlignment="1" applyProtection="1">
      <alignment horizontal="center"/>
    </xf>
    <xf numFmtId="44" fontId="0" fillId="0" borderId="1" xfId="2" applyFont="1" applyFill="1" applyBorder="1" applyAlignment="1" applyProtection="1">
      <alignment horizontal="center"/>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0" fontId="0" fillId="0" borderId="1" xfId="0" applyFill="1" applyBorder="1" applyAlignment="1" applyProtection="1">
      <alignment horizontal="center"/>
    </xf>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2" borderId="1" xfId="0" applyFont="1" applyFill="1" applyBorder="1" applyAlignment="1" applyProtection="1">
      <alignment horizontal="left"/>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0" fontId="0" fillId="2" borderId="1" xfId="0" applyFill="1" applyBorder="1" applyAlignment="1" applyProtection="1">
      <alignment horizontal="left"/>
    </xf>
    <xf numFmtId="44" fontId="1" fillId="0" borderId="1" xfId="0" applyNumberFormat="1" applyFont="1" applyFill="1" applyBorder="1" applyAlignment="1" applyProtection="1">
      <alignment horizontal="left"/>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1" fillId="0" borderId="1" xfId="0" applyFont="1" applyFill="1" applyBorder="1" applyAlignment="1" applyProtection="1">
      <alignment horizontal="center"/>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44" fontId="1" fillId="6" borderId="6" xfId="2" applyFont="1" applyFill="1" applyBorder="1" applyAlignment="1" applyProtection="1">
      <alignment horizontal="center" vertical="top"/>
      <protection locked="0"/>
    </xf>
    <xf numFmtId="44" fontId="1" fillId="6" borderId="7" xfId="2" applyFont="1" applyFill="1" applyBorder="1" applyAlignment="1" applyProtection="1">
      <alignment horizontal="center" vertical="top"/>
      <protection locked="0"/>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0" fillId="4" borderId="1" xfId="0" applyFill="1" applyBorder="1" applyAlignment="1" applyProtection="1">
      <alignment horizontal="center"/>
      <protection locked="0"/>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3" borderId="0" xfId="0" applyFill="1" applyAlignment="1">
      <alignment horizontal="left"/>
    </xf>
    <xf numFmtId="0" fontId="0" fillId="3" borderId="10" xfId="0" applyFill="1" applyBorder="1" applyAlignment="1">
      <alignment horizontal="left"/>
    </xf>
    <xf numFmtId="0" fontId="0" fillId="3" borderId="12" xfId="0" applyFill="1" applyBorder="1" applyAlignment="1">
      <alignment horizontal="left"/>
    </xf>
    <xf numFmtId="10" fontId="0" fillId="0" borderId="6" xfId="5" applyNumberFormat="1" applyFont="1" applyFill="1" applyBorder="1" applyAlignment="1">
      <alignment horizontal="right" vertical="top"/>
    </xf>
    <xf numFmtId="10" fontId="0" fillId="0" borderId="11" xfId="5" applyNumberFormat="1" applyFont="1" applyFill="1" applyBorder="1" applyAlignment="1">
      <alignment horizontal="right" vertical="top"/>
    </xf>
    <xf numFmtId="10" fontId="0" fillId="0" borderId="7" xfId="5" applyNumberFormat="1" applyFont="1" applyFill="1" applyBorder="1" applyAlignment="1">
      <alignment horizontal="right" vertical="top"/>
    </xf>
    <xf numFmtId="0" fontId="0" fillId="2" borderId="8" xfId="0" applyFill="1" applyBorder="1" applyAlignment="1">
      <alignment horizontal="left"/>
    </xf>
    <xf numFmtId="0" fontId="0" fillId="2" borderId="5"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cellXfs>
  <cellStyles count="6">
    <cellStyle name="Comma" xfId="1" builtinId="3"/>
    <cellStyle name="Currency" xfId="2" builtinId="4"/>
    <cellStyle name="Currency 2" xfId="3"/>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72"/>
  <sheetViews>
    <sheetView tabSelected="1" zoomScale="90" zoomScaleNormal="90" workbookViewId="0">
      <selection activeCell="D10" sqref="D10"/>
    </sheetView>
  </sheetViews>
  <sheetFormatPr defaultColWidth="9.140625" defaultRowHeight="12.75" x14ac:dyDescent="0.2"/>
  <cols>
    <col min="1" max="1" width="30.5703125" style="45" customWidth="1"/>
    <col min="2" max="2" width="10.85546875" style="44" customWidth="1"/>
    <col min="3" max="3" width="21.85546875" style="44" customWidth="1"/>
    <col min="4" max="4" width="21.85546875" style="43" customWidth="1"/>
    <col min="5" max="5" width="22.140625" style="43" customWidth="1"/>
    <col min="6" max="6" width="19.140625" style="44" customWidth="1"/>
    <col min="7" max="7" width="9.140625" style="45" customWidth="1"/>
    <col min="8" max="8" width="9.140625" style="45" hidden="1" customWidth="1"/>
    <col min="9" max="9" width="9.5703125" style="45" hidden="1" customWidth="1"/>
    <col min="10" max="10" width="15.5703125" style="45" hidden="1" customWidth="1"/>
    <col min="11" max="11" width="9.140625" style="45" customWidth="1"/>
    <col min="12" max="16384" width="9.140625" style="45"/>
  </cols>
  <sheetData>
    <row r="1" spans="1:10" ht="15" customHeight="1" x14ac:dyDescent="0.2">
      <c r="A1" s="84" t="s">
        <v>16</v>
      </c>
      <c r="B1" s="84"/>
      <c r="C1" s="84"/>
      <c r="D1" s="84"/>
    </row>
    <row r="2" spans="1:10" x14ac:dyDescent="0.2">
      <c r="A2" s="42"/>
      <c r="B2" s="42"/>
      <c r="C2" s="42"/>
      <c r="D2" s="42"/>
      <c r="E2" s="42"/>
      <c r="F2" s="42"/>
      <c r="G2" s="115"/>
    </row>
    <row r="3" spans="1:10" x14ac:dyDescent="0.2">
      <c r="A3" s="154" t="s">
        <v>262</v>
      </c>
      <c r="B3" s="154"/>
      <c r="C3" s="154"/>
      <c r="D3" s="42"/>
      <c r="E3" s="42"/>
      <c r="F3" s="42"/>
      <c r="G3" s="115"/>
    </row>
    <row r="4" spans="1:10" x14ac:dyDescent="0.2">
      <c r="A4" s="213" t="s">
        <v>259</v>
      </c>
      <c r="B4" s="214"/>
      <c r="C4" s="52">
        <v>15.6</v>
      </c>
      <c r="D4" s="42"/>
      <c r="E4" s="42"/>
      <c r="F4" s="42"/>
      <c r="G4" s="115"/>
    </row>
    <row r="5" spans="1:10" x14ac:dyDescent="0.2">
      <c r="A5" s="213" t="s">
        <v>260</v>
      </c>
      <c r="B5" s="214"/>
      <c r="C5" s="155">
        <v>4.7E-2</v>
      </c>
      <c r="D5" s="42"/>
      <c r="E5" s="42"/>
      <c r="F5" s="42"/>
      <c r="G5" s="115"/>
    </row>
    <row r="6" spans="1:10" x14ac:dyDescent="0.2">
      <c r="A6" s="215" t="s">
        <v>261</v>
      </c>
      <c r="B6" s="216"/>
      <c r="C6" s="165">
        <f>ROUND(C4*C5+C4,2)</f>
        <v>16.329999999999998</v>
      </c>
      <c r="D6" s="42"/>
      <c r="E6" s="42"/>
      <c r="F6" s="42"/>
      <c r="G6" s="115"/>
    </row>
    <row r="7" spans="1:10" x14ac:dyDescent="0.2">
      <c r="A7" s="42"/>
      <c r="B7" s="42"/>
      <c r="C7" s="42"/>
      <c r="D7" s="42"/>
      <c r="E7" s="42"/>
      <c r="F7" s="42"/>
      <c r="G7" s="115"/>
    </row>
    <row r="8" spans="1:10" ht="13.15" customHeight="1" x14ac:dyDescent="0.25">
      <c r="A8" s="49" t="s">
        <v>263</v>
      </c>
      <c r="B8" s="49"/>
      <c r="C8" s="47"/>
      <c r="D8" s="42"/>
      <c r="E8" s="48"/>
      <c r="F8" s="48"/>
      <c r="G8" s="115"/>
      <c r="I8" s="152"/>
      <c r="J8" s="152"/>
    </row>
    <row r="9" spans="1:10" ht="15" x14ac:dyDescent="0.25">
      <c r="A9" s="211" t="s">
        <v>0</v>
      </c>
      <c r="B9" s="212"/>
      <c r="C9" s="50" t="s">
        <v>23</v>
      </c>
      <c r="D9" s="51" t="s">
        <v>73</v>
      </c>
      <c r="E9" s="50" t="s">
        <v>75</v>
      </c>
      <c r="F9" s="42"/>
      <c r="G9" s="115"/>
      <c r="I9" s="125">
        <v>0</v>
      </c>
      <c r="J9" s="126">
        <v>0</v>
      </c>
    </row>
    <row r="10" spans="1:10" x14ac:dyDescent="0.2">
      <c r="A10" s="219" t="s">
        <v>225</v>
      </c>
      <c r="B10" s="220"/>
      <c r="C10" s="52">
        <f>C6</f>
        <v>16.329999999999998</v>
      </c>
      <c r="D10" s="89">
        <v>0</v>
      </c>
      <c r="E10" s="52">
        <f>D10*C10</f>
        <v>0</v>
      </c>
      <c r="F10" s="42"/>
      <c r="G10" s="115"/>
      <c r="I10" s="111">
        <v>1</v>
      </c>
      <c r="J10" s="112">
        <f>ROUND($C$10-$B$18,2)</f>
        <v>12.61</v>
      </c>
    </row>
    <row r="11" spans="1:10" x14ac:dyDescent="0.2">
      <c r="A11" s="42"/>
      <c r="B11" s="42"/>
      <c r="C11" s="42"/>
      <c r="D11" s="42"/>
      <c r="E11" s="42"/>
      <c r="F11" s="42"/>
      <c r="G11" s="115"/>
      <c r="I11" s="111">
        <v>2</v>
      </c>
      <c r="J11" s="112">
        <f>ROUND(($C$10-$B$18)/2,2)</f>
        <v>6.31</v>
      </c>
    </row>
    <row r="12" spans="1:10" x14ac:dyDescent="0.2">
      <c r="A12" s="183" t="s">
        <v>264</v>
      </c>
      <c r="B12" s="183"/>
      <c r="C12" s="183"/>
      <c r="D12" s="183"/>
      <c r="E12" s="183"/>
      <c r="F12" s="45"/>
      <c r="I12" s="111">
        <v>3</v>
      </c>
      <c r="J12" s="112">
        <f>ROUND(($C$10-$B$18)/3,2)</f>
        <v>4.2</v>
      </c>
    </row>
    <row r="13" spans="1:10" ht="38.25" customHeight="1" x14ac:dyDescent="0.2">
      <c r="A13" s="130" t="s">
        <v>233</v>
      </c>
      <c r="B13" s="191" t="s">
        <v>25</v>
      </c>
      <c r="C13" s="191"/>
      <c r="D13" s="179" t="s">
        <v>231</v>
      </c>
      <c r="E13" s="180"/>
      <c r="F13" s="54"/>
      <c r="G13" s="115"/>
      <c r="I13" s="111">
        <v>4</v>
      </c>
      <c r="J13" s="112">
        <f>ROUND(($C$10-$B$18)/4,2)</f>
        <v>3.15</v>
      </c>
    </row>
    <row r="14" spans="1:10" x14ac:dyDescent="0.2">
      <c r="A14" s="55">
        <f>E10</f>
        <v>0</v>
      </c>
      <c r="B14" s="221">
        <v>1</v>
      </c>
      <c r="C14" s="221"/>
      <c r="D14" s="177">
        <f>A14/B14</f>
        <v>0</v>
      </c>
      <c r="E14" s="178"/>
      <c r="F14" s="54"/>
      <c r="G14" s="115"/>
      <c r="I14" s="111">
        <v>5</v>
      </c>
      <c r="J14" s="112">
        <f>ROUND(($C$10-$B$18)/5,2)</f>
        <v>2.52</v>
      </c>
    </row>
    <row r="15" spans="1:10" x14ac:dyDescent="0.2">
      <c r="A15" s="42"/>
      <c r="B15" s="42"/>
      <c r="C15" s="42"/>
      <c r="D15" s="42"/>
      <c r="E15" s="42"/>
      <c r="F15" s="42"/>
      <c r="G15" s="115"/>
      <c r="I15" s="111">
        <v>6</v>
      </c>
      <c r="J15" s="112">
        <f>ROUND(($C$10-$B$18)/6,2)</f>
        <v>2.1</v>
      </c>
    </row>
    <row r="16" spans="1:10" x14ac:dyDescent="0.2">
      <c r="A16" s="49" t="s">
        <v>265</v>
      </c>
      <c r="B16" s="49"/>
      <c r="C16" s="47"/>
      <c r="D16" s="42"/>
      <c r="E16" s="48"/>
      <c r="F16" s="48"/>
      <c r="G16" s="115"/>
    </row>
    <row r="17" spans="1:10" ht="26.25" customHeight="1" x14ac:dyDescent="0.2">
      <c r="A17" s="120" t="s">
        <v>0</v>
      </c>
      <c r="B17" s="121" t="s">
        <v>23</v>
      </c>
      <c r="C17" s="122" t="s">
        <v>226</v>
      </c>
      <c r="D17" s="179" t="s">
        <v>232</v>
      </c>
      <c r="E17" s="180"/>
      <c r="F17" s="42"/>
      <c r="G17" s="115"/>
    </row>
    <row r="18" spans="1:10" x14ac:dyDescent="0.2">
      <c r="A18" s="124" t="s">
        <v>224</v>
      </c>
      <c r="B18" s="166">
        <v>3.72</v>
      </c>
      <c r="C18" s="119"/>
      <c r="D18" s="177">
        <f>(B18*C18)/B14</f>
        <v>0</v>
      </c>
      <c r="E18" s="178"/>
      <c r="F18" s="42"/>
      <c r="G18" s="115"/>
    </row>
    <row r="19" spans="1:10" x14ac:dyDescent="0.2">
      <c r="A19" s="42"/>
      <c r="B19" s="42"/>
      <c r="C19" s="42"/>
      <c r="D19" s="42"/>
      <c r="E19" s="42"/>
      <c r="F19" s="42"/>
      <c r="G19" s="115"/>
    </row>
    <row r="20" spans="1:10" s="115" customFormat="1" x14ac:dyDescent="0.2">
      <c r="A20" s="184" t="s">
        <v>266</v>
      </c>
      <c r="B20" s="184"/>
      <c r="C20" s="184"/>
      <c r="D20" s="184"/>
      <c r="E20" s="184"/>
      <c r="F20" s="184"/>
      <c r="I20" s="110" t="s">
        <v>230</v>
      </c>
      <c r="J20" s="45"/>
    </row>
    <row r="21" spans="1:10" s="115" customFormat="1" ht="27" customHeight="1" x14ac:dyDescent="0.2">
      <c r="A21" s="123" t="s">
        <v>228</v>
      </c>
      <c r="B21" s="181" t="s">
        <v>236</v>
      </c>
      <c r="C21" s="182"/>
      <c r="D21" s="181" t="s">
        <v>227</v>
      </c>
      <c r="E21" s="182"/>
      <c r="F21" s="54"/>
      <c r="I21" s="114" t="s">
        <v>229</v>
      </c>
    </row>
    <row r="22" spans="1:10" s="115" customFormat="1" x14ac:dyDescent="0.2">
      <c r="A22" s="131" t="s">
        <v>229</v>
      </c>
      <c r="B22" s="222">
        <v>1</v>
      </c>
      <c r="C22" s="223"/>
      <c r="D22" s="177">
        <f>IF(A22="YES",(C18*(VLOOKUP(B22,I10:J15,2,FALSE))),0)</f>
        <v>0</v>
      </c>
      <c r="E22" s="178"/>
      <c r="F22" s="54"/>
    </row>
    <row r="23" spans="1:10" s="115" customFormat="1" x14ac:dyDescent="0.2">
      <c r="A23" s="116"/>
      <c r="B23" s="117"/>
      <c r="C23" s="117"/>
      <c r="D23" s="118"/>
      <c r="E23" s="118"/>
      <c r="F23" s="54"/>
    </row>
    <row r="24" spans="1:10" x14ac:dyDescent="0.2">
      <c r="A24" s="183" t="s">
        <v>267</v>
      </c>
      <c r="B24" s="183"/>
      <c r="C24" s="183"/>
      <c r="D24" s="183"/>
      <c r="E24" s="42"/>
      <c r="F24" s="45"/>
      <c r="I24" s="115"/>
      <c r="J24" s="115"/>
    </row>
    <row r="25" spans="1:10" x14ac:dyDescent="0.2">
      <c r="A25" s="56" t="s">
        <v>0</v>
      </c>
      <c r="B25" s="190" t="s">
        <v>23</v>
      </c>
      <c r="C25" s="191"/>
      <c r="D25" s="57" t="s">
        <v>73</v>
      </c>
      <c r="E25" s="57" t="s">
        <v>75</v>
      </c>
      <c r="F25" s="54"/>
    </row>
    <row r="26" spans="1:10" x14ac:dyDescent="0.2">
      <c r="A26" s="58" t="s">
        <v>76</v>
      </c>
      <c r="B26" s="194">
        <f>C6</f>
        <v>16.329999999999998</v>
      </c>
      <c r="C26" s="192"/>
      <c r="D26" s="89">
        <v>0</v>
      </c>
      <c r="E26" s="59">
        <f>B26*D26</f>
        <v>0</v>
      </c>
      <c r="F26" s="54"/>
    </row>
    <row r="27" spans="1:10" x14ac:dyDescent="0.2">
      <c r="A27" s="42"/>
      <c r="B27" s="42"/>
      <c r="C27" s="42"/>
      <c r="D27" s="42"/>
      <c r="E27" s="42"/>
      <c r="F27" s="42"/>
    </row>
    <row r="28" spans="1:10" x14ac:dyDescent="0.2">
      <c r="A28" s="183" t="s">
        <v>268</v>
      </c>
      <c r="B28" s="183"/>
      <c r="C28" s="183"/>
      <c r="D28" s="183"/>
      <c r="E28" s="42"/>
      <c r="F28" s="45"/>
    </row>
    <row r="29" spans="1:10" x14ac:dyDescent="0.2">
      <c r="A29" s="195" t="s">
        <v>77</v>
      </c>
      <c r="B29" s="195"/>
      <c r="C29" s="57" t="s">
        <v>25</v>
      </c>
      <c r="D29" s="188" t="s">
        <v>78</v>
      </c>
      <c r="E29" s="188"/>
      <c r="F29" s="54"/>
    </row>
    <row r="30" spans="1:10" x14ac:dyDescent="0.2">
      <c r="A30" s="203">
        <f>E26</f>
        <v>0</v>
      </c>
      <c r="B30" s="203"/>
      <c r="C30" s="129">
        <f>B14</f>
        <v>1</v>
      </c>
      <c r="D30" s="189">
        <f>A30/C30</f>
        <v>0</v>
      </c>
      <c r="E30" s="189"/>
      <c r="F30" s="54"/>
    </row>
    <row r="31" spans="1:10" x14ac:dyDescent="0.2">
      <c r="A31" s="60"/>
      <c r="B31" s="41"/>
      <c r="C31" s="40"/>
      <c r="D31" s="61"/>
      <c r="E31" s="62"/>
      <c r="F31" s="54"/>
    </row>
    <row r="32" spans="1:10" x14ac:dyDescent="0.2">
      <c r="A32" s="183" t="s">
        <v>271</v>
      </c>
      <c r="B32" s="183"/>
      <c r="C32" s="183"/>
      <c r="D32" s="183"/>
      <c r="E32" s="42"/>
      <c r="F32" s="48"/>
    </row>
    <row r="33" spans="1:15" x14ac:dyDescent="0.2">
      <c r="A33" s="202" t="s">
        <v>0</v>
      </c>
      <c r="B33" s="202"/>
      <c r="C33" s="50" t="s">
        <v>23</v>
      </c>
      <c r="D33" s="51" t="s">
        <v>73</v>
      </c>
      <c r="E33" s="50" t="s">
        <v>75</v>
      </c>
      <c r="F33" s="42"/>
    </row>
    <row r="34" spans="1:15" x14ac:dyDescent="0.2">
      <c r="A34" s="217" t="s">
        <v>86</v>
      </c>
      <c r="B34" s="218"/>
      <c r="C34" s="52">
        <f>C6</f>
        <v>16.329999999999998</v>
      </c>
      <c r="D34" s="89">
        <v>0</v>
      </c>
      <c r="E34" s="52">
        <f>D34*C34</f>
        <v>0</v>
      </c>
      <c r="F34" s="42"/>
    </row>
    <row r="35" spans="1:15" x14ac:dyDescent="0.2">
      <c r="A35" s="156"/>
      <c r="B35" s="157"/>
      <c r="C35" s="158"/>
      <c r="D35" s="159"/>
      <c r="E35" s="158"/>
      <c r="F35" s="42"/>
    </row>
    <row r="36" spans="1:15" x14ac:dyDescent="0.2">
      <c r="A36" s="183" t="s">
        <v>270</v>
      </c>
      <c r="B36" s="183"/>
      <c r="C36" s="183"/>
      <c r="D36" s="183"/>
      <c r="E36" s="158"/>
      <c r="F36" s="42"/>
    </row>
    <row r="37" spans="1:15" x14ac:dyDescent="0.2">
      <c r="A37" s="202" t="s">
        <v>0</v>
      </c>
      <c r="B37" s="202"/>
      <c r="C37" s="50" t="s">
        <v>23</v>
      </c>
      <c r="D37" s="51" t="s">
        <v>73</v>
      </c>
      <c r="E37" s="50" t="s">
        <v>75</v>
      </c>
      <c r="F37" s="42"/>
    </row>
    <row r="38" spans="1:15" x14ac:dyDescent="0.2">
      <c r="A38" s="207" t="s">
        <v>63</v>
      </c>
      <c r="B38" s="208"/>
      <c r="C38" s="167">
        <v>3.72</v>
      </c>
      <c r="D38" s="89">
        <v>0</v>
      </c>
      <c r="E38" s="52">
        <f>D38*C38</f>
        <v>0</v>
      </c>
      <c r="F38" s="42"/>
    </row>
    <row r="39" spans="1:15" s="162" customFormat="1" x14ac:dyDescent="0.2">
      <c r="A39" s="156"/>
      <c r="B39" s="157"/>
      <c r="C39" s="160"/>
      <c r="D39" s="159"/>
      <c r="E39" s="158"/>
      <c r="F39" s="161"/>
    </row>
    <row r="40" spans="1:15" x14ac:dyDescent="0.2">
      <c r="A40" s="183" t="s">
        <v>269</v>
      </c>
      <c r="B40" s="183"/>
      <c r="C40" s="183"/>
      <c r="D40" s="183"/>
      <c r="E40" s="42"/>
      <c r="F40" s="42"/>
    </row>
    <row r="41" spans="1:15" x14ac:dyDescent="0.2">
      <c r="A41" s="211" t="s">
        <v>0</v>
      </c>
      <c r="B41" s="212"/>
      <c r="C41" s="50" t="s">
        <v>23</v>
      </c>
      <c r="D41" s="51" t="s">
        <v>73</v>
      </c>
      <c r="E41" s="50" t="s">
        <v>75</v>
      </c>
      <c r="F41" s="42"/>
    </row>
    <row r="42" spans="1:15" x14ac:dyDescent="0.2">
      <c r="A42" s="204" t="s">
        <v>85</v>
      </c>
      <c r="B42" s="205"/>
      <c r="C42" s="52">
        <f>C6</f>
        <v>16.329999999999998</v>
      </c>
      <c r="D42" s="89">
        <v>0</v>
      </c>
      <c r="E42" s="52">
        <f>C42*D42</f>
        <v>0</v>
      </c>
      <c r="F42" s="42"/>
    </row>
    <row r="43" spans="1:15" x14ac:dyDescent="0.2">
      <c r="A43" s="42"/>
      <c r="B43" s="42"/>
      <c r="C43" s="42"/>
      <c r="D43" s="42"/>
      <c r="E43" s="42"/>
      <c r="F43" s="42"/>
    </row>
    <row r="44" spans="1:15" x14ac:dyDescent="0.2">
      <c r="A44" s="49" t="s">
        <v>217</v>
      </c>
      <c r="B44" s="42"/>
      <c r="C44" s="42"/>
      <c r="D44" s="42"/>
      <c r="E44" s="42"/>
      <c r="F44" s="42"/>
    </row>
    <row r="45" spans="1:15" ht="12.75" customHeight="1" x14ac:dyDescent="0.2">
      <c r="A45" s="63" t="s">
        <v>66</v>
      </c>
      <c r="B45" s="53" t="s">
        <v>23</v>
      </c>
      <c r="C45" s="53" t="s">
        <v>68</v>
      </c>
      <c r="D45" s="64" t="s">
        <v>73</v>
      </c>
      <c r="E45" s="65" t="s">
        <v>74</v>
      </c>
      <c r="F45" s="113"/>
      <c r="G45" s="193"/>
      <c r="K45" s="115"/>
      <c r="L45" s="115"/>
      <c r="M45" s="115"/>
      <c r="N45" s="115"/>
      <c r="O45" s="115"/>
    </row>
    <row r="46" spans="1:15" x14ac:dyDescent="0.2">
      <c r="A46" s="66" t="s">
        <v>66</v>
      </c>
      <c r="B46" s="168">
        <v>21.13</v>
      </c>
      <c r="C46" s="67">
        <v>0.11</v>
      </c>
      <c r="D46" s="128">
        <f>((D10/B14)+(C18/B14)+(D26/C30)+D34+D38+D42)*C46</f>
        <v>0</v>
      </c>
      <c r="E46" s="68">
        <f>D46*B46</f>
        <v>0</v>
      </c>
      <c r="F46" s="113"/>
      <c r="G46" s="193"/>
      <c r="I46" s="114"/>
      <c r="J46" s="115"/>
      <c r="K46" s="115"/>
      <c r="L46" s="115"/>
      <c r="M46" s="115"/>
      <c r="N46" s="115"/>
      <c r="O46" s="115"/>
    </row>
    <row r="47" spans="1:15" x14ac:dyDescent="0.2">
      <c r="A47" s="42"/>
      <c r="B47" s="42"/>
      <c r="C47" s="42"/>
      <c r="D47" s="42"/>
      <c r="E47" s="42"/>
      <c r="F47" s="113"/>
      <c r="G47" s="193"/>
      <c r="I47" s="115"/>
      <c r="J47" s="115"/>
    </row>
    <row r="48" spans="1:15" x14ac:dyDescent="0.2">
      <c r="A48" s="69" t="s">
        <v>218</v>
      </c>
      <c r="B48" s="69"/>
      <c r="C48" s="69"/>
      <c r="D48" s="69"/>
      <c r="E48" s="61"/>
      <c r="F48" s="113"/>
      <c r="G48" s="193"/>
    </row>
    <row r="49" spans="1:8" ht="25.5" x14ac:dyDescent="0.2">
      <c r="A49" s="70" t="s">
        <v>38</v>
      </c>
      <c r="B49" s="50" t="s">
        <v>19</v>
      </c>
      <c r="C49" s="71" t="s">
        <v>20</v>
      </c>
      <c r="D49" s="71" t="s">
        <v>81</v>
      </c>
      <c r="E49" s="71" t="s">
        <v>82</v>
      </c>
      <c r="F49" s="42"/>
    </row>
    <row r="50" spans="1:8" x14ac:dyDescent="0.2">
      <c r="A50" s="72" t="s">
        <v>67</v>
      </c>
      <c r="B50" s="73">
        <v>0</v>
      </c>
      <c r="C50" s="132">
        <v>0</v>
      </c>
      <c r="D50" s="209">
        <f>IF(C50&gt;0,D34+D38+((D10/B14)+(C18/B14)),0)</f>
        <v>0</v>
      </c>
      <c r="E50" s="186">
        <f>D50*C50</f>
        <v>0</v>
      </c>
      <c r="F50" s="42"/>
      <c r="G50" s="115"/>
      <c r="H50" s="115"/>
    </row>
    <row r="51" spans="1:8" x14ac:dyDescent="0.2">
      <c r="A51" s="72" t="s">
        <v>42</v>
      </c>
      <c r="B51" s="73">
        <v>2.5</v>
      </c>
      <c r="C51" s="133"/>
      <c r="D51" s="210"/>
      <c r="E51" s="187"/>
      <c r="F51" s="42"/>
      <c r="G51" s="115"/>
      <c r="H51" s="115"/>
    </row>
    <row r="52" spans="1:8" x14ac:dyDescent="0.2">
      <c r="A52" s="42"/>
      <c r="B52" s="42"/>
      <c r="C52" s="42"/>
      <c r="D52" s="42"/>
      <c r="E52" s="42"/>
      <c r="F52" s="42"/>
      <c r="G52" s="115"/>
      <c r="H52" s="115"/>
    </row>
    <row r="53" spans="1:8" x14ac:dyDescent="0.2">
      <c r="A53" s="183" t="s">
        <v>219</v>
      </c>
      <c r="B53" s="183"/>
      <c r="C53" s="183"/>
      <c r="D53" s="183"/>
      <c r="E53" s="42"/>
      <c r="F53" s="45"/>
    </row>
    <row r="54" spans="1:8" x14ac:dyDescent="0.2">
      <c r="A54" s="56" t="s">
        <v>0</v>
      </c>
      <c r="B54" s="190" t="s">
        <v>23</v>
      </c>
      <c r="C54" s="191"/>
      <c r="D54" s="57" t="s">
        <v>73</v>
      </c>
      <c r="E54" s="57" t="s">
        <v>75</v>
      </c>
      <c r="F54" s="54"/>
    </row>
    <row r="55" spans="1:8" x14ac:dyDescent="0.2">
      <c r="A55" s="58" t="s">
        <v>79</v>
      </c>
      <c r="B55" s="192">
        <v>37.770000000000003</v>
      </c>
      <c r="C55" s="192"/>
      <c r="D55" s="89">
        <v>0</v>
      </c>
      <c r="E55" s="59">
        <f>B55*D55</f>
        <v>0</v>
      </c>
      <c r="F55" s="54"/>
    </row>
    <row r="56" spans="1:8" x14ac:dyDescent="0.2">
      <c r="A56" s="60"/>
      <c r="B56" s="41"/>
      <c r="C56" s="41"/>
      <c r="D56" s="61"/>
      <c r="E56" s="62"/>
      <c r="F56" s="54"/>
    </row>
    <row r="57" spans="1:8" x14ac:dyDescent="0.2">
      <c r="A57" s="183" t="s">
        <v>220</v>
      </c>
      <c r="B57" s="183"/>
      <c r="C57" s="183"/>
      <c r="D57" s="183"/>
      <c r="E57" s="42"/>
      <c r="F57" s="45"/>
    </row>
    <row r="58" spans="1:8" x14ac:dyDescent="0.2">
      <c r="A58" s="56" t="s">
        <v>0</v>
      </c>
      <c r="B58" s="190" t="s">
        <v>23</v>
      </c>
      <c r="C58" s="191"/>
      <c r="D58" s="57" t="s">
        <v>73</v>
      </c>
      <c r="E58" s="57" t="s">
        <v>75</v>
      </c>
      <c r="F58" s="54"/>
    </row>
    <row r="59" spans="1:8" x14ac:dyDescent="0.2">
      <c r="A59" s="58" t="s">
        <v>80</v>
      </c>
      <c r="B59" s="206">
        <v>23.16</v>
      </c>
      <c r="C59" s="192"/>
      <c r="D59" s="89">
        <v>0</v>
      </c>
      <c r="E59" s="59">
        <f>B59*D59</f>
        <v>0</v>
      </c>
      <c r="F59" s="54"/>
    </row>
    <row r="60" spans="1:8" x14ac:dyDescent="0.2">
      <c r="A60" s="60"/>
      <c r="B60" s="41"/>
      <c r="C60" s="41"/>
      <c r="D60" s="61"/>
      <c r="E60" s="62"/>
      <c r="F60" s="54"/>
    </row>
    <row r="61" spans="1:8" x14ac:dyDescent="0.2">
      <c r="A61" s="74" t="s">
        <v>221</v>
      </c>
      <c r="B61" s="74"/>
      <c r="C61" s="74"/>
      <c r="D61" s="74"/>
      <c r="E61" s="45"/>
      <c r="F61" s="45"/>
    </row>
    <row r="62" spans="1:8" x14ac:dyDescent="0.2">
      <c r="A62" s="202" t="s">
        <v>39</v>
      </c>
      <c r="B62" s="202"/>
      <c r="C62" s="202"/>
      <c r="D62" s="202"/>
      <c r="E62" s="202"/>
      <c r="F62" s="75" t="s">
        <v>24</v>
      </c>
    </row>
    <row r="63" spans="1:8" x14ac:dyDescent="0.2">
      <c r="A63" s="199" t="s">
        <v>48</v>
      </c>
      <c r="B63" s="200"/>
      <c r="C63" s="200"/>
      <c r="D63" s="201"/>
      <c r="E63" s="76">
        <v>8.7099999999999997E-2</v>
      </c>
      <c r="F63" s="77">
        <f>E63*(D14+E34+E38+E46+E50+E55+E59+D18+D22)</f>
        <v>0</v>
      </c>
    </row>
    <row r="64" spans="1:8" x14ac:dyDescent="0.2">
      <c r="A64" s="196" t="s">
        <v>46</v>
      </c>
      <c r="B64" s="197"/>
      <c r="C64" s="197"/>
      <c r="D64" s="197"/>
      <c r="E64" s="198"/>
      <c r="F64" s="77">
        <f>SUM(F63:F63)</f>
        <v>0</v>
      </c>
    </row>
    <row r="65" spans="1:6" x14ac:dyDescent="0.2">
      <c r="A65" s="78"/>
      <c r="B65" s="79"/>
      <c r="C65" s="79"/>
      <c r="D65" s="79"/>
      <c r="E65" s="79"/>
      <c r="F65" s="80"/>
    </row>
    <row r="66" spans="1:6" x14ac:dyDescent="0.2">
      <c r="A66" s="46" t="s">
        <v>36</v>
      </c>
      <c r="B66" s="46"/>
      <c r="C66" s="42"/>
      <c r="D66" s="81"/>
      <c r="E66" s="81"/>
      <c r="F66" s="82"/>
    </row>
    <row r="67" spans="1:6" x14ac:dyDescent="0.2">
      <c r="A67" s="49" t="s">
        <v>223</v>
      </c>
      <c r="B67" s="45"/>
      <c r="C67" s="45"/>
      <c r="D67" s="42"/>
      <c r="E67" s="81"/>
      <c r="F67" s="82"/>
    </row>
    <row r="68" spans="1:6" x14ac:dyDescent="0.2">
      <c r="A68" s="185" t="s">
        <v>37</v>
      </c>
      <c r="B68" s="185"/>
      <c r="C68" s="127">
        <f>E34+E38+E46+D14+D22+E50+E55+E59+F64+D18</f>
        <v>0</v>
      </c>
      <c r="D68" s="42"/>
      <c r="E68" s="42"/>
      <c r="F68" s="42"/>
    </row>
    <row r="69" spans="1:6" x14ac:dyDescent="0.2">
      <c r="A69" s="42"/>
      <c r="B69" s="42"/>
      <c r="C69" s="42"/>
      <c r="D69" s="42"/>
      <c r="E69" s="42"/>
      <c r="F69" s="42"/>
    </row>
    <row r="70" spans="1:6" x14ac:dyDescent="0.2">
      <c r="A70" s="49" t="s">
        <v>222</v>
      </c>
      <c r="B70" s="45"/>
      <c r="C70" s="45"/>
      <c r="D70" s="42"/>
      <c r="E70" s="81"/>
      <c r="F70" s="82"/>
    </row>
    <row r="71" spans="1:6" x14ac:dyDescent="0.2">
      <c r="A71" s="185" t="s">
        <v>77</v>
      </c>
      <c r="B71" s="185"/>
      <c r="C71" s="83">
        <f>D30+E42</f>
        <v>0</v>
      </c>
      <c r="D71" s="42"/>
      <c r="E71" s="42"/>
      <c r="F71" s="42"/>
    </row>
    <row r="72" spans="1:6" x14ac:dyDescent="0.2">
      <c r="A72" s="49"/>
      <c r="B72" s="45"/>
      <c r="C72" s="45"/>
      <c r="D72" s="42"/>
      <c r="E72" s="81"/>
      <c r="F72" s="82"/>
    </row>
  </sheetData>
  <sheetProtection algorithmName="SHA-512" hashValue="aDBkihSj/NHPZER+Y46eCPd2s2XPODcwueU76yrEeA4KLx0D7aRmxnzSSzyZ9GQ3KBadEZs1v4uyC4UM5IaKcA==" saltValue="cHimk/aILndpbViOtkkdkg==" spinCount="100000" sheet="1" objects="1" scenarios="1"/>
  <dataConsolidate/>
  <mergeCells count="48">
    <mergeCell ref="A4:B4"/>
    <mergeCell ref="A5:B5"/>
    <mergeCell ref="A6:B6"/>
    <mergeCell ref="A37:B37"/>
    <mergeCell ref="A36:D36"/>
    <mergeCell ref="D22:E22"/>
    <mergeCell ref="A34:B34"/>
    <mergeCell ref="A9:B9"/>
    <mergeCell ref="A10:B10"/>
    <mergeCell ref="B14:C14"/>
    <mergeCell ref="B13:C13"/>
    <mergeCell ref="D14:E14"/>
    <mergeCell ref="A24:D24"/>
    <mergeCell ref="D17:E17"/>
    <mergeCell ref="B25:C25"/>
    <mergeCell ref="B22:C22"/>
    <mergeCell ref="G45:G48"/>
    <mergeCell ref="B26:C26"/>
    <mergeCell ref="A28:D28"/>
    <mergeCell ref="A29:B29"/>
    <mergeCell ref="A64:E64"/>
    <mergeCell ref="A63:D63"/>
    <mergeCell ref="A62:E62"/>
    <mergeCell ref="A30:B30"/>
    <mergeCell ref="A32:D32"/>
    <mergeCell ref="B58:C58"/>
    <mergeCell ref="A42:B42"/>
    <mergeCell ref="B59:C59"/>
    <mergeCell ref="A33:B33"/>
    <mergeCell ref="A38:B38"/>
    <mergeCell ref="D50:D51"/>
    <mergeCell ref="A41:B41"/>
    <mergeCell ref="A71:B71"/>
    <mergeCell ref="E50:E51"/>
    <mergeCell ref="D29:E29"/>
    <mergeCell ref="D30:E30"/>
    <mergeCell ref="A53:D53"/>
    <mergeCell ref="B54:C54"/>
    <mergeCell ref="B55:C55"/>
    <mergeCell ref="A68:B68"/>
    <mergeCell ref="A40:D40"/>
    <mergeCell ref="A57:D57"/>
    <mergeCell ref="D18:E18"/>
    <mergeCell ref="D13:E13"/>
    <mergeCell ref="D21:E21"/>
    <mergeCell ref="A12:E12"/>
    <mergeCell ref="A20:F20"/>
    <mergeCell ref="B21:C21"/>
  </mergeCells>
  <phoneticPr fontId="2" type="noConversion"/>
  <dataValidations xWindow="730" yWindow="222" count="52">
    <dataValidation allowBlank="1" showInputMessage="1" showErrorMessage="1" prompt="Use CTRL plus arrow keys to move to edge of tables.  Press TAB to move to cells where data can be entered." sqref="A1:D1"/>
    <dataValidation allowBlank="1" showInputMessage="1" showErrorMessage="1" prompt="Enter Shared DAYTIME On-site Staff Awake Hours per Day" sqref="D10"/>
    <dataValidation allowBlank="1" showInputMessage="1" showErrorMessage="1" prompt="Shared On-site Prmary Staff Awake Amount per Day formula is Hours per Day times Wage" sqref="E10"/>
    <dataValidation allowBlank="1" showInputMessage="1" showErrorMessage="1" prompt="Enter Shared OVERNIGHT Staff Hours per Day" sqref="C18"/>
    <dataValidation allowBlank="1" showInputMessage="1" showErrorMessage="1" prompt="Percentage for Direct Care Relief Staff" sqref="E63"/>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dataValidation allowBlank="1" showInputMessage="1" showErrorMessage="1" prompt="Total On-site Shared Staffing Amount formula is Amount per Day for (Shared On-site Primary Staff Awake + Shared Asleep Staff)_x000a_" sqref="A14 A23"/>
    <dataValidation allowBlank="1" showInputMessage="1" showErrorMessage="1" prompt="Enter Number of Residents - On-site" sqref="B23:C23"/>
    <dataValidation allowBlank="1" showInputMessage="1" showErrorMessage="1" prompt="Total Individual Amount for Shared Staffing formula is Total Shared Staffing Amount divided by Number of Residents" sqref="F14 F22:F23"/>
    <dataValidation allowBlank="1" showInputMessage="1" showErrorMessage="1" prompt="Enter Individual On-site Primary Staff / Awake Hours per Day" sqref="D34:D35"/>
    <dataValidation allowBlank="1" showInputMessage="1" showErrorMessage="1" prompt="Individual On-site Primary Staff Awake Amount per Day formula is Hours per Day times Wage" sqref="E34:E36"/>
    <dataValidation allowBlank="1" showInputMessage="1" showErrorMessage="1" prompt="Enter Individual Asleep Staff Hours per Day" sqref="D38:D39"/>
    <dataValidation allowBlank="1" showInputMessage="1" showErrorMessage="1" prompt="Individual Asleep Staff Amount per Day formula is Hours per Day times Wage" sqref="E38:E39"/>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dataValidation allowBlank="1" showInputMessage="1" showErrorMessage="1" prompt="No Customization Add-on Amount" sqref="B5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dataValidation allowBlank="1" showInputMessage="1" showErrorMessage="1" prompt="Staffing Customization Amount per Day formula is Total DCS Hours per Day times Add-on Amount" sqref="E50:E51"/>
    <dataValidation allowBlank="1" showInputMessage="1" showErrorMessage="1" prompt="Shared On-site Primary Staff/Awake Wage" sqref="C10 C4"/>
    <dataValidation allowBlank="1" showInputMessage="1" showErrorMessage="1" prompt="Individual On-site Primary Staff / Awake Wage" sqref="C34:C35"/>
    <dataValidation allowBlank="1" showInputMessage="1" showErrorMessage="1" prompt="Individual Asleep Staff Wage" sqref="C38:C39"/>
    <dataValidation allowBlank="1" showInputMessage="1" showErrorMessage="1" prompt="Supervision Wage" sqref="B46"/>
    <dataValidation allowBlank="1" showInputMessage="1" showErrorMessage="1" prompt="Supervision Amount per Day formula is Supervision Wage times Supervision Hours per Day" sqref="E46"/>
    <dataValidation allowBlank="1" showInputMessage="1" showErrorMessage="1" prompt="Total Dollars for Shared Relief Staffing formula is equal to Shared Relief Staff Dollar Amount" sqref="F65"/>
    <dataValidation allowBlank="1" showInputMessage="1" showErrorMessage="1" prompt="Supervision Percent" sqref="C46"/>
    <dataValidation allowBlank="1" showInputMessage="1" showErrorMessage="1" prompt="Total Dollars for Relief Staffing formula is equal to Relief Staff Dollar Amount" sqref="F64"/>
    <dataValidation allowBlank="1" showInputMessage="1" showErrorMessage="1" prompt="Remote Shared Staff Wage" sqref="B26:C26 B31:C31"/>
    <dataValidation allowBlank="1" showInputMessage="1" showErrorMessage="1" prompt="Enter Remote Shared Staff Hours per Day" sqref="D26 D31"/>
    <dataValidation allowBlank="1" showInputMessage="1" showErrorMessage="1" prompt="Remote Shared Staff Amount per Day formula is Wage times Hours per Day" sqref="E26 E31"/>
    <dataValidation allowBlank="1" showInputMessage="1" showErrorMessage="1" prompt="Total Remote Shared Staff Amount formula is equal to Remote Shared Staff Amount per Day" sqref="A30:B30"/>
    <dataValidation allowBlank="1" showInputMessage="1" showErrorMessage="1" prompt="RN Wage" sqref="B55:C56 B60:C60"/>
    <dataValidation allowBlank="1" showInputMessage="1" showErrorMessage="1" prompt="Enter RN Hours per Day" sqref="D55:D56 D60"/>
    <dataValidation allowBlank="1" showInputMessage="1" showErrorMessage="1" prompt="RN Amount per Day formula is Wage times Hours per Day" sqref="E55:E56 E60"/>
    <dataValidation allowBlank="1" showInputMessage="1" showErrorMessage="1" prompt="LPN Wage" sqref="B59:C59"/>
    <dataValidation allowBlank="1" showInputMessage="1" showErrorMessage="1" prompt="Enter LPN Hours per Day" sqref="D59"/>
    <dataValidation allowBlank="1" showInputMessage="1" showErrorMessage="1" prompt="LPN Amount per Day formula is Wage times Hours per Day" sqref="E59"/>
    <dataValidation allowBlank="1" showInputMessage="1" showErrorMessage="1" prompt="Total Remote Shared Staff Amount formula equals Individual Amount for Remote Shared Staffing plus Individual Remote Staff Amount per Day" sqref="C71"/>
    <dataValidation type="list" allowBlank="1" showInputMessage="1" showErrorMessage="1" prompt="Enter Add-on Choice" sqref="C50">
      <formula1>$B$50:$B$51</formula1>
    </dataValidation>
    <dataValidation allowBlank="1" showInputMessage="1" showErrorMessage="1" prompt="Number of Residents - Remote formula is equal to Number of Residents - Direct" sqref="C30"/>
    <dataValidation allowBlank="1" showInputMessage="1" showErrorMessage="1" prompt="Individual Amount for Remote Shared Staff formula is Total Remote Shared Staff Amount divided by Number of Residents-Remote" sqref="D30:E30"/>
    <dataValidation allowBlank="1" showInputMessage="1" showErrorMessage="1" prompt="Total Individual Amount for Shared Staffing formula is Total On-site Shared Staffing Amount divided by Number of Residents - On-site" sqref="D23:E23"/>
    <dataValidation allowBlank="1" showInputMessage="1" showErrorMessage="1" prompt="Deaf or Hard of Hearing Add-on Amount" sqref="B51"/>
    <dataValidation allowBlank="1" showInputMessage="1" showErrorMessage="1" prompt="Individual Remote Staff Wage" sqref="C42"/>
    <dataValidation allowBlank="1" showInputMessage="1" showErrorMessage="1" prompt="Enter Individual Remote Staff Hours per Day" sqref="D42"/>
    <dataValidation allowBlank="1" showInputMessage="1" showErrorMessage="1" prompt="Individual Remote Staff Amount per Day formula is Individual Wage times Individual Remote Staff Hours per Day" sqref="E42"/>
    <dataValidation type="list" allowBlank="1" showInputMessage="1" showErrorMessage="1" prompt="Enter Number of Residents - On-site" sqref="B14:C14">
      <formula1>$I$10:$I$15</formula1>
    </dataValidation>
    <dataValidation type="list" allowBlank="1" showInputMessage="1" showErrorMessage="1" prompt="Select a response of Yes if the recipient requires SHARED AWAKE OVERNIGHT staff." sqref="A22">
      <formula1>$I$20:$I$21</formula1>
    </dataValidation>
    <dataValidation type="list" allowBlank="1" showInputMessage="1" showErrorMessage="1" prompt="Enter the number of residents requiring Shared Awake overnight staff." sqref="B22:C22">
      <formula1>$I$10:$I$15</formula1>
    </dataValidation>
    <dataValidation allowBlank="1" showInputMessage="1" showErrorMessage="1" prompt="Total Individual Amount for Shared Staffing formula is Total Daytime Shared Staffing Amount divided by Number of Residents" sqref="D14:E14"/>
    <dataValidation allowBlank="1" showInputMessage="1" showErrorMessage="1" prompt="Total Individual Amount for Shared Staffing formula is Total Overnight Shared Staffing Amount divided by Number of Residents" sqref="D18:E18"/>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dataValidation allowBlank="1" showInputMessage="1" showErrorMessage="1" prompt="Enter Add-on Choice" sqref="C51"/>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23"/>
  <sheetViews>
    <sheetView zoomScale="125" workbookViewId="0">
      <selection activeCell="A22" sqref="A22"/>
    </sheetView>
  </sheetViews>
  <sheetFormatPr defaultColWidth="9.140625" defaultRowHeight="12.75" x14ac:dyDescent="0.2"/>
  <cols>
    <col min="1" max="1" width="3" style="2" customWidth="1"/>
    <col min="2" max="2" width="40.7109375" style="2" customWidth="1"/>
    <col min="3" max="3" width="14" style="2" customWidth="1"/>
    <col min="4" max="4" width="14" style="5" customWidth="1"/>
    <col min="5" max="5" width="15.42578125" style="2" customWidth="1"/>
    <col min="6" max="6" width="18.140625" style="2" bestFit="1" customWidth="1"/>
    <col min="7" max="7" width="9.140625" style="2" hidden="1" customWidth="1"/>
    <col min="8" max="16384" width="9.140625" style="2"/>
  </cols>
  <sheetData>
    <row r="1" spans="1:5" ht="15" x14ac:dyDescent="0.2">
      <c r="A1" s="85" t="s">
        <v>47</v>
      </c>
      <c r="B1" s="85"/>
      <c r="C1" s="85"/>
      <c r="D1" s="85"/>
      <c r="E1" s="21"/>
    </row>
    <row r="2" spans="1:5" x14ac:dyDescent="0.2">
      <c r="A2" s="21"/>
      <c r="B2" s="21"/>
      <c r="C2" s="21"/>
      <c r="D2" s="21"/>
      <c r="E2" s="21"/>
    </row>
    <row r="3" spans="1:5" x14ac:dyDescent="0.2">
      <c r="A3" s="86" t="s">
        <v>31</v>
      </c>
      <c r="B3" s="86"/>
      <c r="C3" s="86"/>
      <c r="D3" s="86"/>
      <c r="E3" s="21"/>
    </row>
    <row r="4" spans="1:5" x14ac:dyDescent="0.2">
      <c r="A4" s="230" t="s">
        <v>26</v>
      </c>
      <c r="B4" s="231"/>
      <c r="C4" s="1" t="s">
        <v>27</v>
      </c>
      <c r="D4" s="21"/>
      <c r="E4" s="21"/>
    </row>
    <row r="5" spans="1:5" x14ac:dyDescent="0.2">
      <c r="A5" s="225" t="s">
        <v>43</v>
      </c>
      <c r="B5" s="226"/>
      <c r="C5" s="227">
        <v>0.11559999999999999</v>
      </c>
      <c r="D5" s="21"/>
      <c r="E5" s="21"/>
    </row>
    <row r="6" spans="1:5" x14ac:dyDescent="0.2">
      <c r="A6" s="6"/>
      <c r="B6" s="232" t="s">
        <v>44</v>
      </c>
      <c r="C6" s="228"/>
      <c r="D6" s="21"/>
      <c r="E6" s="21"/>
    </row>
    <row r="7" spans="1:5" x14ac:dyDescent="0.2">
      <c r="A7" s="7"/>
      <c r="B7" s="233"/>
      <c r="C7" s="229"/>
      <c r="D7" s="21"/>
      <c r="E7" s="21"/>
    </row>
    <row r="8" spans="1:5" x14ac:dyDescent="0.2">
      <c r="A8" s="225" t="s">
        <v>41</v>
      </c>
      <c r="B8" s="226"/>
      <c r="C8" s="227">
        <v>0.12039999999999999</v>
      </c>
      <c r="D8" s="21"/>
      <c r="E8" s="21"/>
    </row>
    <row r="9" spans="1:5" x14ac:dyDescent="0.2">
      <c r="A9" s="6"/>
      <c r="B9" s="3" t="s">
        <v>2</v>
      </c>
      <c r="C9" s="228"/>
      <c r="D9" s="21"/>
      <c r="E9" s="21"/>
    </row>
    <row r="10" spans="1:5" x14ac:dyDescent="0.2">
      <c r="A10" s="6"/>
      <c r="B10" s="3" t="s">
        <v>53</v>
      </c>
      <c r="C10" s="228"/>
      <c r="D10" s="21"/>
      <c r="E10" s="21"/>
    </row>
    <row r="11" spans="1:5" x14ac:dyDescent="0.2">
      <c r="A11" s="6"/>
      <c r="B11" s="3" t="s">
        <v>3</v>
      </c>
      <c r="C11" s="228"/>
      <c r="D11" s="21"/>
      <c r="E11" s="21"/>
    </row>
    <row r="12" spans="1:5" x14ac:dyDescent="0.2">
      <c r="A12" s="6"/>
      <c r="B12" s="3" t="s">
        <v>4</v>
      </c>
      <c r="C12" s="228"/>
      <c r="D12" s="21"/>
      <c r="E12" s="21"/>
    </row>
    <row r="13" spans="1:5" x14ac:dyDescent="0.2">
      <c r="A13" s="6"/>
      <c r="B13" s="3" t="s">
        <v>6</v>
      </c>
      <c r="C13" s="228"/>
      <c r="D13" s="21"/>
      <c r="E13" s="21"/>
    </row>
    <row r="14" spans="1:5" x14ac:dyDescent="0.2">
      <c r="A14" s="6"/>
      <c r="B14" s="3" t="s">
        <v>5</v>
      </c>
      <c r="C14" s="228"/>
      <c r="D14" s="21"/>
      <c r="E14" s="21"/>
    </row>
    <row r="15" spans="1:5" x14ac:dyDescent="0.2">
      <c r="A15" s="6"/>
      <c r="B15" s="3" t="s">
        <v>7</v>
      </c>
      <c r="C15" s="228"/>
      <c r="D15" s="21"/>
      <c r="E15" s="21"/>
    </row>
    <row r="16" spans="1:5" x14ac:dyDescent="0.2">
      <c r="A16" s="6"/>
      <c r="B16" s="3" t="s">
        <v>8</v>
      </c>
      <c r="C16" s="228"/>
      <c r="D16" s="21"/>
      <c r="E16" s="21"/>
    </row>
    <row r="17" spans="1:5" x14ac:dyDescent="0.2">
      <c r="A17" s="6"/>
      <c r="B17" s="3" t="s">
        <v>40</v>
      </c>
      <c r="C17" s="228"/>
      <c r="D17" s="21"/>
      <c r="E17" s="21"/>
    </row>
    <row r="18" spans="1:5" ht="11.25" customHeight="1" x14ac:dyDescent="0.2">
      <c r="A18" s="7"/>
      <c r="B18" s="8"/>
      <c r="C18" s="229"/>
      <c r="D18" s="21"/>
      <c r="E18" s="21"/>
    </row>
    <row r="19" spans="1:5" x14ac:dyDescent="0.2">
      <c r="A19" s="234" t="s">
        <v>64</v>
      </c>
      <c r="B19" s="235"/>
      <c r="C19" s="25">
        <f>SUM(C5:C18)</f>
        <v>0.23599999999999999</v>
      </c>
      <c r="D19" s="21"/>
      <c r="E19" s="21"/>
    </row>
    <row r="20" spans="1:5" x14ac:dyDescent="0.2">
      <c r="A20" s="21"/>
      <c r="B20" s="21"/>
      <c r="C20" s="21"/>
      <c r="D20" s="21"/>
      <c r="E20" s="21"/>
    </row>
    <row r="21" spans="1:5" x14ac:dyDescent="0.2">
      <c r="A21" s="224"/>
      <c r="B21" s="224"/>
      <c r="D21" s="21"/>
      <c r="E21" s="21"/>
    </row>
    <row r="22" spans="1:5" x14ac:dyDescent="0.2">
      <c r="A22" s="21"/>
      <c r="B22" s="21"/>
      <c r="C22" s="21"/>
      <c r="D22" s="21"/>
      <c r="E22" s="21"/>
    </row>
    <row r="23" spans="1:5" x14ac:dyDescent="0.2">
      <c r="A23" s="21"/>
      <c r="B23" s="21"/>
      <c r="C23" s="21"/>
      <c r="D23" s="21"/>
      <c r="E23" s="21"/>
    </row>
  </sheetData>
  <sheetProtection password="C10A"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dataValidation allowBlank="1" showInputMessage="1" showErrorMessage="1" prompt="Other Benefits Percent" sqref="C8:C18"/>
    <dataValidation allowBlank="1" showInputMessage="1" showErrorMessage="1" prompt="Total Benefit Percentage formula is Taxes and Workers Comp Percent + Other Benefits Percent" sqref="C19"/>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15"/>
  <sheetViews>
    <sheetView zoomScale="125" workbookViewId="0">
      <selection activeCell="A3" sqref="A3"/>
    </sheetView>
  </sheetViews>
  <sheetFormatPr defaultColWidth="9.140625" defaultRowHeight="12.75" x14ac:dyDescent="0.2"/>
  <cols>
    <col min="1" max="1" width="15.42578125" style="2" customWidth="1"/>
    <col min="2" max="2" width="18.28515625" style="2" customWidth="1"/>
    <col min="3" max="3" width="13.5703125" style="9" bestFit="1" customWidth="1"/>
    <col min="4" max="4" width="18.5703125" style="2" customWidth="1"/>
    <col min="5" max="5" width="14" style="2" customWidth="1"/>
    <col min="6" max="16384" width="9.140625" style="2"/>
  </cols>
  <sheetData>
    <row r="1" spans="1:7" ht="15" x14ac:dyDescent="0.2">
      <c r="A1" s="85" t="s">
        <v>10</v>
      </c>
      <c r="B1" s="85"/>
      <c r="C1" s="85"/>
      <c r="D1" s="5"/>
      <c r="F1" s="21"/>
      <c r="G1" s="21"/>
    </row>
    <row r="2" spans="1:7" x14ac:dyDescent="0.2">
      <c r="A2" s="21"/>
      <c r="B2" s="21"/>
      <c r="C2" s="21"/>
      <c r="D2" s="21"/>
      <c r="E2" s="21"/>
      <c r="F2" s="21"/>
      <c r="G2" s="21"/>
    </row>
    <row r="3" spans="1:7" x14ac:dyDescent="0.2">
      <c r="A3" s="86" t="s">
        <v>32</v>
      </c>
      <c r="B3" s="86"/>
      <c r="C3" s="86"/>
      <c r="D3" s="86"/>
      <c r="E3" s="86"/>
      <c r="F3" s="21"/>
      <c r="G3" s="21"/>
    </row>
    <row r="4" spans="1:7" s="10" customFormat="1" ht="35.25" customHeight="1" x14ac:dyDescent="0.2">
      <c r="A4" s="240" t="s">
        <v>11</v>
      </c>
      <c r="B4" s="241"/>
      <c r="C4" s="11" t="s">
        <v>12</v>
      </c>
      <c r="D4" s="12" t="s">
        <v>13</v>
      </c>
      <c r="F4" s="21"/>
      <c r="G4" s="21"/>
    </row>
    <row r="5" spans="1:7" x14ac:dyDescent="0.2">
      <c r="A5" s="236" t="s">
        <v>18</v>
      </c>
      <c r="B5" s="237"/>
      <c r="C5" s="15">
        <v>0</v>
      </c>
      <c r="D5" s="134">
        <v>0</v>
      </c>
      <c r="F5" s="21"/>
      <c r="G5" s="21"/>
    </row>
    <row r="6" spans="1:7" x14ac:dyDescent="0.2">
      <c r="A6" s="236" t="s">
        <v>14</v>
      </c>
      <c r="B6" s="237"/>
      <c r="C6" s="169">
        <v>1831.49</v>
      </c>
      <c r="D6" s="135"/>
      <c r="F6" s="21"/>
      <c r="G6" s="21"/>
    </row>
    <row r="7" spans="1:7" x14ac:dyDescent="0.2">
      <c r="A7" s="236" t="s">
        <v>72</v>
      </c>
      <c r="B7" s="237"/>
      <c r="C7" s="169">
        <v>3270.51</v>
      </c>
      <c r="D7" s="135"/>
      <c r="F7" s="21"/>
      <c r="G7" s="21"/>
    </row>
    <row r="8" spans="1:7" x14ac:dyDescent="0.2">
      <c r="A8" s="236"/>
      <c r="B8" s="237"/>
      <c r="C8" s="16"/>
      <c r="D8" s="136"/>
      <c r="F8" s="21"/>
      <c r="G8" s="21"/>
    </row>
    <row r="9" spans="1:7" x14ac:dyDescent="0.2">
      <c r="A9" s="226" t="s">
        <v>52</v>
      </c>
      <c r="B9" s="226"/>
      <c r="C9" s="226"/>
      <c r="D9" s="226"/>
      <c r="F9" s="21"/>
      <c r="G9" s="21"/>
    </row>
    <row r="10" spans="1:7" x14ac:dyDescent="0.2">
      <c r="A10" s="21"/>
      <c r="B10" s="21"/>
      <c r="C10" s="21"/>
      <c r="D10" s="21"/>
      <c r="E10" s="21"/>
      <c r="F10" s="21"/>
      <c r="G10" s="21"/>
    </row>
    <row r="11" spans="1:7" x14ac:dyDescent="0.2">
      <c r="A11" s="86" t="s">
        <v>33</v>
      </c>
      <c r="B11" s="86"/>
      <c r="C11" s="86"/>
      <c r="D11" s="86"/>
      <c r="E11" s="86"/>
      <c r="F11" s="21"/>
      <c r="G11" s="21"/>
    </row>
    <row r="12" spans="1:7" x14ac:dyDescent="0.2">
      <c r="A12" s="230" t="s">
        <v>12</v>
      </c>
      <c r="B12" s="231"/>
      <c r="C12" s="17">
        <f>D5</f>
        <v>0</v>
      </c>
      <c r="D12" s="21"/>
      <c r="E12" s="21"/>
      <c r="F12" s="21"/>
      <c r="G12" s="21"/>
    </row>
    <row r="13" spans="1:7" x14ac:dyDescent="0.2">
      <c r="A13" s="238" t="s">
        <v>21</v>
      </c>
      <c r="B13" s="239"/>
      <c r="C13" s="18">
        <f>C12</f>
        <v>0</v>
      </c>
      <c r="D13" s="21"/>
      <c r="E13" s="21"/>
      <c r="F13" s="21"/>
      <c r="G13" s="21"/>
    </row>
    <row r="14" spans="1:7" x14ac:dyDescent="0.2">
      <c r="A14" s="21"/>
      <c r="B14" s="21"/>
      <c r="C14" s="21"/>
      <c r="D14" s="21"/>
      <c r="E14" s="21"/>
      <c r="F14" s="21"/>
      <c r="G14" s="21"/>
    </row>
    <row r="15" spans="1:7" x14ac:dyDescent="0.2">
      <c r="A15" s="21"/>
      <c r="B15" s="21"/>
      <c r="C15" s="21"/>
      <c r="D15" s="21"/>
      <c r="E15" s="21"/>
      <c r="F15" s="21"/>
      <c r="G15" s="21"/>
    </row>
  </sheetData>
  <sheetProtection algorithmName="SHA-512" hashValue="kgP/iAoHHtJZjdyppiwcTkAignNNbMZIeKxPJ7bthN5Mu7fMZ7zlGr4KkSki8jVlm8N3K6DX1Z2tP8VnuNtnVA==" saltValue="v+m+ak8tWHQZZ2EjVVQlJw=="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dataValidation allowBlank="1" showInputMessage="1" showErrorMessage="1" prompt="Annual Transportation Standard formula is equal to Transportation Standard" sqref="C12"/>
    <dataValidation allowBlank="1" showInputMessage="1" showErrorMessage="1" prompt="Total Transportation formula is equal to Annual Transportation Standard" sqref="C13"/>
    <dataValidation allowBlank="1" showInputMessage="1" showErrorMessage="1" prompt="Transportation Standard for No Transportation" sqref="C5"/>
    <dataValidation allowBlank="1" showInputMessage="1" showErrorMessage="1" prompt="Transportation Standard for Standard Vehicle" sqref="C6"/>
    <dataValidation allowBlank="1" showInputMessage="1" showErrorMessage="1" prompt="Transportation Standard for Adapted Vehicle with Lift" sqref="C7"/>
    <dataValidation type="list" allowBlank="1" showInputMessage="1" showErrorMessage="1" prompt="Enter Transportation Standard" sqref="D5">
      <formula1>$C$5:$C$8</formula1>
    </dataValidation>
    <dataValidation allowBlank="1" showInputMessage="1" showErrorMessage="1" prompt="Enter Transportation Standard" sqref="D6:D8"/>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8"/>
  <sheetViews>
    <sheetView zoomScale="97" zoomScaleNormal="97" workbookViewId="0">
      <selection activeCell="C5" sqref="C5"/>
    </sheetView>
  </sheetViews>
  <sheetFormatPr defaultColWidth="9.140625" defaultRowHeight="12.75" x14ac:dyDescent="0.2"/>
  <cols>
    <col min="1" max="1" width="30.5703125" style="2" customWidth="1"/>
    <col min="2" max="2" width="43.85546875" style="2" customWidth="1"/>
    <col min="3" max="3" width="18" style="2" customWidth="1"/>
    <col min="4" max="4" width="13.140625" style="2" customWidth="1"/>
    <col min="5" max="16384" width="9.140625" style="2"/>
  </cols>
  <sheetData>
    <row r="1" spans="1:5" ht="15" x14ac:dyDescent="0.2">
      <c r="A1" s="85" t="s">
        <v>22</v>
      </c>
      <c r="B1" s="85"/>
      <c r="C1" s="85"/>
      <c r="D1" s="21"/>
      <c r="E1" s="21"/>
    </row>
    <row r="2" spans="1:5" x14ac:dyDescent="0.2">
      <c r="A2" s="21"/>
      <c r="B2" s="21"/>
      <c r="C2" s="21"/>
      <c r="D2" s="21"/>
      <c r="E2" s="21"/>
    </row>
    <row r="3" spans="1:5" x14ac:dyDescent="0.2">
      <c r="A3" s="86" t="s">
        <v>30</v>
      </c>
      <c r="B3" s="86"/>
      <c r="C3" s="86"/>
      <c r="D3" s="21"/>
      <c r="E3" s="21"/>
    </row>
    <row r="4" spans="1:5" x14ac:dyDescent="0.2">
      <c r="A4" s="244" t="s">
        <v>29</v>
      </c>
      <c r="B4" s="245"/>
      <c r="C4" s="14" t="s">
        <v>28</v>
      </c>
      <c r="D4" s="21"/>
      <c r="E4" s="21"/>
    </row>
    <row r="5" spans="1:5" ht="99" customHeight="1" x14ac:dyDescent="0.2">
      <c r="A5" s="242" t="s">
        <v>45</v>
      </c>
      <c r="B5" s="243"/>
      <c r="C5" s="170">
        <v>2375.48</v>
      </c>
      <c r="D5" s="21"/>
      <c r="E5" s="21"/>
    </row>
    <row r="6" spans="1:5" x14ac:dyDescent="0.2">
      <c r="A6" s="21"/>
      <c r="B6" s="21"/>
      <c r="C6" s="21"/>
      <c r="D6" s="21"/>
      <c r="E6" s="21"/>
    </row>
    <row r="7" spans="1:5" x14ac:dyDescent="0.2">
      <c r="A7" s="21"/>
      <c r="B7" s="21"/>
      <c r="C7" s="21"/>
      <c r="D7" s="21"/>
      <c r="E7" s="21"/>
    </row>
    <row r="8" spans="1:5" x14ac:dyDescent="0.2">
      <c r="A8" s="21"/>
      <c r="B8" s="21"/>
      <c r="C8" s="21"/>
      <c r="D8" s="21"/>
      <c r="E8" s="21"/>
    </row>
  </sheetData>
  <sheetProtection algorithmName="SHA-512" hashValue="n74JP2t1tc2wKf7JEmn445NcKpoJOkQMAc8H6CLBq9jJAw2eOfNU5b/bhvBeYR4XB1ZWg8ujv8vloL4DvD6f3w==" saltValue="J3GMlZNOLshknuzwbxXEzg=="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7"/>
  <sheetViews>
    <sheetView showGridLines="0" zoomScale="125" workbookViewId="0">
      <selection activeCell="E16" sqref="E16"/>
    </sheetView>
  </sheetViews>
  <sheetFormatPr defaultColWidth="9.140625" defaultRowHeight="12.75" x14ac:dyDescent="0.2"/>
  <cols>
    <col min="1" max="1" width="9.140625" style="2"/>
    <col min="2" max="2" width="11.140625" style="2" customWidth="1"/>
    <col min="3" max="3" width="6.85546875" style="2" customWidth="1"/>
    <col min="4" max="4" width="11.28515625" style="2" customWidth="1"/>
    <col min="5" max="5" width="17.85546875" style="2" customWidth="1"/>
    <col min="6" max="6" width="10.28515625" style="2" bestFit="1" customWidth="1"/>
    <col min="7" max="16384" width="9.140625" style="2"/>
  </cols>
  <sheetData>
    <row r="1" spans="1:7" ht="15" x14ac:dyDescent="0.2">
      <c r="A1" s="85" t="s">
        <v>54</v>
      </c>
      <c r="B1" s="85"/>
      <c r="C1" s="85"/>
      <c r="D1" s="85"/>
      <c r="E1" s="85"/>
      <c r="F1" s="85"/>
      <c r="G1" s="21"/>
    </row>
    <row r="2" spans="1:7" x14ac:dyDescent="0.2">
      <c r="A2" s="21"/>
      <c r="B2" s="21"/>
      <c r="C2" s="21"/>
      <c r="D2" s="21"/>
      <c r="E2" s="21"/>
      <c r="F2" s="21"/>
      <c r="G2" s="21"/>
    </row>
    <row r="3" spans="1:7" x14ac:dyDescent="0.2">
      <c r="A3" s="86" t="s">
        <v>55</v>
      </c>
      <c r="B3" s="86"/>
      <c r="C3" s="86"/>
      <c r="D3" s="86"/>
      <c r="E3" s="86"/>
      <c r="F3" s="86"/>
    </row>
    <row r="4" spans="1:7" x14ac:dyDescent="0.2">
      <c r="A4" s="255" t="s">
        <v>56</v>
      </c>
      <c r="B4" s="255"/>
      <c r="C4" s="255"/>
      <c r="D4" s="255"/>
      <c r="E4" s="13" t="s">
        <v>34</v>
      </c>
    </row>
    <row r="5" spans="1:7" x14ac:dyDescent="0.2">
      <c r="A5" s="256" t="s">
        <v>49</v>
      </c>
      <c r="B5" s="256"/>
      <c r="C5" s="256"/>
      <c r="D5" s="256"/>
      <c r="E5" s="37">
        <v>3.3000000000000002E-2</v>
      </c>
    </row>
    <row r="6" spans="1:7" x14ac:dyDescent="0.2">
      <c r="A6" s="257" t="s">
        <v>57</v>
      </c>
      <c r="B6" s="257"/>
      <c r="C6" s="257"/>
      <c r="D6" s="257"/>
      <c r="E6" s="25">
        <f>SUM(E5:E5)</f>
        <v>3.3000000000000002E-2</v>
      </c>
    </row>
    <row r="7" spans="1:7" x14ac:dyDescent="0.2">
      <c r="A7" s="30"/>
      <c r="B7" s="30"/>
      <c r="C7" s="30"/>
      <c r="D7" s="30"/>
      <c r="E7" s="30"/>
    </row>
    <row r="8" spans="1:7" x14ac:dyDescent="0.2">
      <c r="A8" s="26"/>
      <c r="B8" s="26"/>
      <c r="C8" s="26"/>
      <c r="D8" s="26"/>
      <c r="E8" s="26"/>
    </row>
    <row r="9" spans="1:7" x14ac:dyDescent="0.2">
      <c r="A9" s="26"/>
      <c r="B9" s="26"/>
      <c r="C9" s="26"/>
      <c r="D9" s="26"/>
      <c r="E9" s="26"/>
    </row>
    <row r="10" spans="1:7" x14ac:dyDescent="0.2">
      <c r="A10" s="87" t="s">
        <v>58</v>
      </c>
      <c r="B10" s="88"/>
      <c r="C10" s="88"/>
      <c r="D10" s="88"/>
      <c r="E10" s="88"/>
      <c r="F10" s="88"/>
    </row>
    <row r="11" spans="1:7" x14ac:dyDescent="0.2">
      <c r="A11" s="249" t="s">
        <v>51</v>
      </c>
      <c r="B11" s="250"/>
      <c r="C11" s="250"/>
      <c r="D11" s="251"/>
      <c r="E11" s="37">
        <v>1.2999999999999999E-2</v>
      </c>
    </row>
    <row r="12" spans="1:7" x14ac:dyDescent="0.2">
      <c r="A12" s="249" t="s">
        <v>65</v>
      </c>
      <c r="B12" s="250"/>
      <c r="C12" s="250"/>
      <c r="D12" s="251"/>
      <c r="E12" s="37">
        <v>1.7000000000000001E-2</v>
      </c>
    </row>
    <row r="13" spans="1:7" x14ac:dyDescent="0.2">
      <c r="A13" s="252" t="s">
        <v>59</v>
      </c>
      <c r="B13" s="253"/>
      <c r="C13" s="253"/>
      <c r="D13" s="254"/>
      <c r="E13" s="25">
        <f>SUM(E10:E12)</f>
        <v>0.03</v>
      </c>
    </row>
    <row r="14" spans="1:7" x14ac:dyDescent="0.2">
      <c r="A14" s="26"/>
      <c r="B14" s="26"/>
      <c r="C14" s="26"/>
      <c r="D14" s="26"/>
      <c r="E14" s="26"/>
    </row>
    <row r="15" spans="1:7" x14ac:dyDescent="0.2">
      <c r="A15" s="26" t="s">
        <v>60</v>
      </c>
      <c r="B15" s="26"/>
      <c r="C15" s="26"/>
      <c r="D15" s="26"/>
      <c r="E15" s="26"/>
    </row>
    <row r="16" spans="1:7" x14ac:dyDescent="0.2">
      <c r="A16" s="246" t="s">
        <v>61</v>
      </c>
      <c r="B16" s="247"/>
      <c r="C16" s="247"/>
      <c r="D16" s="248"/>
      <c r="E16" s="38">
        <f>SUM(E6,E13)</f>
        <v>6.3E-2</v>
      </c>
    </row>
    <row r="17" ht="16.5" customHeight="1" x14ac:dyDescent="0.2"/>
  </sheetData>
  <sheetProtection password="C10A"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dataValidation allowBlank="1" showInputMessage="1" showErrorMessage="1" prompt="Total G&amp;A Percentage formula is equal to Standard General &amp; Administrative Support Percent" sqref="E6"/>
    <dataValidation allowBlank="1" showInputMessage="1" showErrorMessage="1" prompt="Program Support Percent" sqref="E11"/>
    <dataValidation allowBlank="1" showInputMessage="1" showErrorMessage="1" prompt="Utilization and Absence Factor Percent" sqref="E12"/>
    <dataValidation allowBlank="1" showInputMessage="1" showErrorMessage="1" prompt="Total Program Related Expenses formula is Program Support Percent  + Utilization and Absence Factor Percent" sqref="E13"/>
    <dataValidation allowBlank="1" showInputMessage="1" showErrorMessage="1" prompt="Total Program Related Expenses and G&amp;A Support formula is Total G&amp;A Percentage + Total Program Related Expenses" sqref="E16"/>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F108"/>
  <sheetViews>
    <sheetView workbookViewId="0">
      <selection activeCell="K123" sqref="K123"/>
    </sheetView>
  </sheetViews>
  <sheetFormatPr defaultRowHeight="12.75" x14ac:dyDescent="0.2"/>
  <cols>
    <col min="1" max="1" width="29" customWidth="1"/>
    <col min="2" max="2" width="17.42578125" customWidth="1"/>
    <col min="3" max="3" width="20" customWidth="1"/>
    <col min="4" max="5" width="9.140625" customWidth="1"/>
    <col min="6" max="6" width="5.5703125" style="91" bestFit="1" customWidth="1"/>
  </cols>
  <sheetData>
    <row r="3" spans="1:6" x14ac:dyDescent="0.2">
      <c r="A3" s="4" t="s">
        <v>104</v>
      </c>
      <c r="B3" s="90"/>
      <c r="C3" s="90"/>
      <c r="D3" s="90"/>
    </row>
    <row r="4" spans="1:6" x14ac:dyDescent="0.2">
      <c r="A4" s="92" t="s">
        <v>105</v>
      </c>
      <c r="B4" s="258" t="s">
        <v>106</v>
      </c>
      <c r="C4" s="259"/>
      <c r="D4" s="260"/>
    </row>
    <row r="5" spans="1:6" x14ac:dyDescent="0.2">
      <c r="A5" s="92" t="s">
        <v>107</v>
      </c>
      <c r="B5" s="261" t="str">
        <f>INDEX($C$10:$C$108,MATCH(B4:D4,B10:B108,0))</f>
        <v>Unspecified Region</v>
      </c>
      <c r="C5" s="262"/>
      <c r="D5" s="263"/>
    </row>
    <row r="7" spans="1:6" hidden="1" x14ac:dyDescent="0.2">
      <c r="A7" t="s">
        <v>108</v>
      </c>
      <c r="B7" t="str">
        <f>INDEX($D$10:$D$108,MATCH(B4:D4,B10:B108,0))</f>
        <v>-</v>
      </c>
    </row>
    <row r="8" spans="1:6" hidden="1" x14ac:dyDescent="0.2"/>
    <row r="9" spans="1:6" ht="15" hidden="1" x14ac:dyDescent="0.2">
      <c r="B9" s="93" t="s">
        <v>109</v>
      </c>
      <c r="C9" s="93" t="s">
        <v>110</v>
      </c>
      <c r="D9" s="94" t="s">
        <v>108</v>
      </c>
      <c r="F9"/>
    </row>
    <row r="10" spans="1:6" ht="15" hidden="1" x14ac:dyDescent="0.2">
      <c r="B10" s="95" t="s">
        <v>106</v>
      </c>
      <c r="C10" s="95" t="s">
        <v>111</v>
      </c>
      <c r="D10" s="96" t="s">
        <v>112</v>
      </c>
      <c r="F10"/>
    </row>
    <row r="11" spans="1:6" ht="15" hidden="1" x14ac:dyDescent="0.2">
      <c r="B11" s="97" t="s">
        <v>113</v>
      </c>
      <c r="C11" s="97" t="s">
        <v>114</v>
      </c>
      <c r="D11" s="173">
        <v>0.97099999999999997</v>
      </c>
      <c r="F11"/>
    </row>
    <row r="12" spans="1:6" ht="15" hidden="1" x14ac:dyDescent="0.2">
      <c r="B12" s="97" t="s">
        <v>115</v>
      </c>
      <c r="C12" s="97" t="s">
        <v>116</v>
      </c>
      <c r="D12" s="173">
        <v>1.0169999999999999</v>
      </c>
      <c r="F12"/>
    </row>
    <row r="13" spans="1:6" ht="15" hidden="1" x14ac:dyDescent="0.2">
      <c r="B13" s="97" t="s">
        <v>117</v>
      </c>
      <c r="C13" s="97" t="s">
        <v>118</v>
      </c>
      <c r="D13" s="173">
        <v>0.95399999999999996</v>
      </c>
      <c r="F13"/>
    </row>
    <row r="14" spans="1:6" ht="15" hidden="1" x14ac:dyDescent="0.2">
      <c r="B14" s="97" t="s">
        <v>119</v>
      </c>
      <c r="C14" s="97" t="s">
        <v>118</v>
      </c>
      <c r="D14" s="173">
        <v>0.95399999999999996</v>
      </c>
      <c r="F14"/>
    </row>
    <row r="15" spans="1:6" ht="15" hidden="1" x14ac:dyDescent="0.2">
      <c r="B15" s="97" t="s">
        <v>120</v>
      </c>
      <c r="C15" s="97" t="s">
        <v>121</v>
      </c>
      <c r="D15" s="173">
        <v>0.996</v>
      </c>
      <c r="F15"/>
    </row>
    <row r="16" spans="1:6" ht="15" hidden="1" x14ac:dyDescent="0.2">
      <c r="B16" s="97" t="s">
        <v>122</v>
      </c>
      <c r="C16" s="98" t="s">
        <v>123</v>
      </c>
      <c r="D16" s="173">
        <v>0.97799999999999998</v>
      </c>
      <c r="F16"/>
    </row>
    <row r="17" spans="2:6" ht="15" hidden="1" x14ac:dyDescent="0.2">
      <c r="B17" s="97" t="s">
        <v>124</v>
      </c>
      <c r="C17" s="97" t="s">
        <v>125</v>
      </c>
      <c r="D17" s="173">
        <v>1.014</v>
      </c>
      <c r="F17"/>
    </row>
    <row r="18" spans="2:6" ht="15" hidden="1" x14ac:dyDescent="0.2">
      <c r="B18" s="97" t="s">
        <v>126</v>
      </c>
      <c r="C18" s="98" t="s">
        <v>127</v>
      </c>
      <c r="D18" s="173">
        <v>1.01</v>
      </c>
      <c r="F18"/>
    </row>
    <row r="19" spans="2:6" ht="15" hidden="1" x14ac:dyDescent="0.2">
      <c r="B19" s="97" t="s">
        <v>128</v>
      </c>
      <c r="C19" s="98" t="s">
        <v>129</v>
      </c>
      <c r="D19" s="173">
        <v>0.97699999999999998</v>
      </c>
      <c r="F19"/>
    </row>
    <row r="20" spans="2:6" ht="15" hidden="1" x14ac:dyDescent="0.2">
      <c r="B20" s="97" t="s">
        <v>130</v>
      </c>
      <c r="C20" s="97" t="s">
        <v>116</v>
      </c>
      <c r="D20" s="173">
        <v>1.0169999999999999</v>
      </c>
      <c r="F20"/>
    </row>
    <row r="21" spans="2:6" ht="15" hidden="1" x14ac:dyDescent="0.2">
      <c r="B21" s="97" t="s">
        <v>131</v>
      </c>
      <c r="C21" s="97" t="s">
        <v>118</v>
      </c>
      <c r="D21" s="173">
        <v>0.95399999999999996</v>
      </c>
      <c r="F21"/>
    </row>
    <row r="22" spans="2:6" ht="15" hidden="1" x14ac:dyDescent="0.2">
      <c r="B22" s="97" t="s">
        <v>132</v>
      </c>
      <c r="C22" s="98" t="s">
        <v>123</v>
      </c>
      <c r="D22" s="173">
        <v>0.97799999999999998</v>
      </c>
      <c r="F22"/>
    </row>
    <row r="23" spans="2:6" ht="15" hidden="1" x14ac:dyDescent="0.2">
      <c r="B23" s="97" t="s">
        <v>133</v>
      </c>
      <c r="C23" s="98" t="s">
        <v>116</v>
      </c>
      <c r="D23" s="173">
        <v>1.0169999999999999</v>
      </c>
      <c r="F23"/>
    </row>
    <row r="24" spans="2:6" ht="15" hidden="1" x14ac:dyDescent="0.2">
      <c r="B24" s="97" t="s">
        <v>134</v>
      </c>
      <c r="C24" s="98" t="s">
        <v>135</v>
      </c>
      <c r="D24" s="173">
        <v>1.0109999999999999</v>
      </c>
      <c r="F24"/>
    </row>
    <row r="25" spans="2:6" ht="15" hidden="1" x14ac:dyDescent="0.2">
      <c r="B25" s="97" t="s">
        <v>136</v>
      </c>
      <c r="C25" s="97" t="s">
        <v>118</v>
      </c>
      <c r="D25" s="173">
        <v>0.95399999999999996</v>
      </c>
      <c r="F25"/>
    </row>
    <row r="26" spans="2:6" ht="15" hidden="1" x14ac:dyDescent="0.2">
      <c r="B26" s="97" t="s">
        <v>137</v>
      </c>
      <c r="C26" s="98" t="s">
        <v>114</v>
      </c>
      <c r="D26" s="173">
        <v>0.97099999999999997</v>
      </c>
      <c r="F26"/>
    </row>
    <row r="27" spans="2:6" ht="15" hidden="1" x14ac:dyDescent="0.2">
      <c r="B27" s="97" t="s">
        <v>138</v>
      </c>
      <c r="C27" s="98" t="s">
        <v>123</v>
      </c>
      <c r="D27" s="173">
        <v>0.97799999999999998</v>
      </c>
      <c r="F27"/>
    </row>
    <row r="28" spans="2:6" ht="15" hidden="1" x14ac:dyDescent="0.2">
      <c r="B28" s="97" t="s">
        <v>139</v>
      </c>
      <c r="C28" s="97" t="s">
        <v>118</v>
      </c>
      <c r="D28" s="173">
        <v>0.95399999999999996</v>
      </c>
      <c r="F28"/>
    </row>
    <row r="29" spans="2:6" ht="15" hidden="1" x14ac:dyDescent="0.2">
      <c r="B29" s="97" t="s">
        <v>140</v>
      </c>
      <c r="C29" s="97" t="s">
        <v>116</v>
      </c>
      <c r="D29" s="173">
        <v>1.0169999999999999</v>
      </c>
      <c r="F29"/>
    </row>
    <row r="30" spans="2:6" ht="15" hidden="1" x14ac:dyDescent="0.2">
      <c r="B30" s="97" t="s">
        <v>141</v>
      </c>
      <c r="C30" s="98" t="s">
        <v>142</v>
      </c>
      <c r="D30" s="173">
        <v>1.006</v>
      </c>
      <c r="F30"/>
    </row>
    <row r="31" spans="2:6" ht="15" hidden="1" x14ac:dyDescent="0.2">
      <c r="B31" s="97" t="s">
        <v>143</v>
      </c>
      <c r="C31" s="97" t="s">
        <v>118</v>
      </c>
      <c r="D31" s="173">
        <v>0.95399999999999996</v>
      </c>
      <c r="F31"/>
    </row>
    <row r="32" spans="2:6" ht="15" hidden="1" x14ac:dyDescent="0.2">
      <c r="B32" s="97" t="s">
        <v>144</v>
      </c>
      <c r="C32" s="98" t="s">
        <v>127</v>
      </c>
      <c r="D32" s="173">
        <v>1.01</v>
      </c>
      <c r="F32"/>
    </row>
    <row r="33" spans="2:6" ht="15" hidden="1" x14ac:dyDescent="0.2">
      <c r="B33" s="97" t="s">
        <v>145</v>
      </c>
      <c r="C33" s="98" t="s">
        <v>142</v>
      </c>
      <c r="D33" s="173">
        <v>1.006</v>
      </c>
      <c r="F33"/>
    </row>
    <row r="34" spans="2:6" ht="15" hidden="1" x14ac:dyDescent="0.2">
      <c r="B34" s="97" t="s">
        <v>146</v>
      </c>
      <c r="C34" s="98" t="s">
        <v>127</v>
      </c>
      <c r="D34" s="173">
        <v>1.01</v>
      </c>
      <c r="F34"/>
    </row>
    <row r="35" spans="2:6" ht="15" hidden="1" x14ac:dyDescent="0.2">
      <c r="B35" s="97" t="s">
        <v>147</v>
      </c>
      <c r="C35" s="98" t="s">
        <v>127</v>
      </c>
      <c r="D35" s="173">
        <v>1.01</v>
      </c>
      <c r="F35"/>
    </row>
    <row r="36" spans="2:6" ht="15" hidden="1" x14ac:dyDescent="0.2">
      <c r="B36" s="97" t="s">
        <v>148</v>
      </c>
      <c r="C36" s="97" t="s">
        <v>118</v>
      </c>
      <c r="D36" s="173">
        <v>0.95399999999999996</v>
      </c>
      <c r="F36"/>
    </row>
    <row r="37" spans="2:6" ht="15" hidden="1" x14ac:dyDescent="0.2">
      <c r="B37" s="97" t="s">
        <v>149</v>
      </c>
      <c r="C37" s="97" t="s">
        <v>116</v>
      </c>
      <c r="D37" s="173">
        <v>1.0169999999999999</v>
      </c>
      <c r="F37"/>
    </row>
    <row r="38" spans="2:6" ht="15" hidden="1" x14ac:dyDescent="0.2">
      <c r="B38" s="97" t="s">
        <v>150</v>
      </c>
      <c r="C38" s="98" t="s">
        <v>151</v>
      </c>
      <c r="D38" s="173">
        <v>0.97599999999999998</v>
      </c>
      <c r="F38"/>
    </row>
    <row r="39" spans="2:6" ht="15" hidden="1" x14ac:dyDescent="0.2">
      <c r="B39" s="97" t="s">
        <v>152</v>
      </c>
      <c r="C39" s="97" t="s">
        <v>118</v>
      </c>
      <c r="D39" s="173">
        <v>0.95399999999999996</v>
      </c>
      <c r="F39"/>
    </row>
    <row r="40" spans="2:6" ht="15" hidden="1" x14ac:dyDescent="0.2">
      <c r="B40" s="97" t="s">
        <v>153</v>
      </c>
      <c r="C40" s="98" t="s">
        <v>116</v>
      </c>
      <c r="D40" s="173">
        <v>1.0169999999999999</v>
      </c>
      <c r="F40"/>
    </row>
    <row r="41" spans="2:6" ht="15" hidden="1" x14ac:dyDescent="0.2">
      <c r="B41" s="97" t="s">
        <v>154</v>
      </c>
      <c r="C41" s="98" t="s">
        <v>114</v>
      </c>
      <c r="D41" s="173">
        <v>0.97099999999999997</v>
      </c>
      <c r="F41"/>
    </row>
    <row r="42" spans="2:6" ht="15" hidden="1" x14ac:dyDescent="0.2">
      <c r="B42" s="97" t="s">
        <v>155</v>
      </c>
      <c r="C42" s="98" t="s">
        <v>123</v>
      </c>
      <c r="D42" s="173">
        <v>0.97799999999999998</v>
      </c>
      <c r="F42"/>
    </row>
    <row r="43" spans="2:6" ht="15" hidden="1" x14ac:dyDescent="0.2">
      <c r="B43" s="97" t="s">
        <v>156</v>
      </c>
      <c r="C43" s="98" t="s">
        <v>114</v>
      </c>
      <c r="D43" s="173">
        <v>0.97099999999999997</v>
      </c>
      <c r="F43"/>
    </row>
    <row r="44" spans="2:6" ht="15" hidden="1" x14ac:dyDescent="0.2">
      <c r="B44" s="97" t="s">
        <v>157</v>
      </c>
      <c r="C44" s="98" t="s">
        <v>123</v>
      </c>
      <c r="D44" s="173">
        <v>0.97799999999999998</v>
      </c>
      <c r="F44"/>
    </row>
    <row r="45" spans="2:6" ht="15" hidden="1" x14ac:dyDescent="0.2">
      <c r="B45" s="97" t="s">
        <v>158</v>
      </c>
      <c r="C45" s="97" t="s">
        <v>118</v>
      </c>
      <c r="D45" s="173">
        <v>0.95399999999999996</v>
      </c>
      <c r="F45"/>
    </row>
    <row r="46" spans="2:6" ht="15" hidden="1" x14ac:dyDescent="0.2">
      <c r="B46" s="97" t="s">
        <v>159</v>
      </c>
      <c r="C46" s="98" t="s">
        <v>114</v>
      </c>
      <c r="D46" s="173">
        <v>0.97099999999999997</v>
      </c>
      <c r="F46"/>
    </row>
    <row r="47" spans="2:6" ht="15" hidden="1" x14ac:dyDescent="0.2">
      <c r="B47" s="97" t="s">
        <v>160</v>
      </c>
      <c r="C47" s="98" t="s">
        <v>123</v>
      </c>
      <c r="D47" s="173">
        <v>0.97799999999999998</v>
      </c>
      <c r="F47"/>
    </row>
    <row r="48" spans="2:6" ht="15" hidden="1" x14ac:dyDescent="0.2">
      <c r="B48" s="97" t="s">
        <v>161</v>
      </c>
      <c r="C48" s="98" t="s">
        <v>114</v>
      </c>
      <c r="D48" s="173">
        <v>0.97099999999999997</v>
      </c>
      <c r="F48"/>
    </row>
    <row r="49" spans="2:6" ht="15" hidden="1" x14ac:dyDescent="0.2">
      <c r="B49" s="97" t="s">
        <v>162</v>
      </c>
      <c r="C49" s="97" t="s">
        <v>118</v>
      </c>
      <c r="D49" s="173">
        <v>0.95399999999999996</v>
      </c>
      <c r="F49"/>
    </row>
    <row r="50" spans="2:6" ht="15" hidden="1" x14ac:dyDescent="0.2">
      <c r="B50" s="97" t="s">
        <v>163</v>
      </c>
      <c r="C50" s="98" t="s">
        <v>116</v>
      </c>
      <c r="D50" s="173">
        <v>1.0169999999999999</v>
      </c>
      <c r="F50"/>
    </row>
    <row r="51" spans="2:6" ht="15" hidden="1" x14ac:dyDescent="0.2">
      <c r="B51" s="97" t="s">
        <v>164</v>
      </c>
      <c r="C51" s="98" t="s">
        <v>123</v>
      </c>
      <c r="D51" s="173">
        <v>0.97799999999999998</v>
      </c>
      <c r="F51"/>
    </row>
    <row r="52" spans="2:6" ht="15" hidden="1" x14ac:dyDescent="0.2">
      <c r="B52" s="97" t="s">
        <v>165</v>
      </c>
      <c r="C52" s="98" t="s">
        <v>123</v>
      </c>
      <c r="D52" s="173">
        <v>0.97799999999999998</v>
      </c>
      <c r="F52"/>
    </row>
    <row r="53" spans="2:6" ht="15" hidden="1" x14ac:dyDescent="0.2">
      <c r="B53" s="97" t="s">
        <v>166</v>
      </c>
      <c r="C53" s="98" t="s">
        <v>123</v>
      </c>
      <c r="D53" s="173">
        <v>0.97799999999999998</v>
      </c>
      <c r="F53"/>
    </row>
    <row r="54" spans="2:6" ht="15" hidden="1" x14ac:dyDescent="0.2">
      <c r="B54" s="97" t="s">
        <v>167</v>
      </c>
      <c r="C54" s="97" t="s">
        <v>118</v>
      </c>
      <c r="D54" s="173">
        <v>0.95399999999999996</v>
      </c>
      <c r="F54"/>
    </row>
    <row r="55" spans="2:6" ht="15" hidden="1" x14ac:dyDescent="0.2">
      <c r="B55" s="97" t="s">
        <v>168</v>
      </c>
      <c r="C55" s="97" t="s">
        <v>118</v>
      </c>
      <c r="D55" s="173">
        <v>0.95399999999999996</v>
      </c>
      <c r="F55"/>
    </row>
    <row r="56" spans="2:6" ht="15" hidden="1" x14ac:dyDescent="0.2">
      <c r="B56" s="97" t="s">
        <v>169</v>
      </c>
      <c r="C56" s="98" t="s">
        <v>127</v>
      </c>
      <c r="D56" s="173">
        <v>1.01</v>
      </c>
      <c r="F56"/>
    </row>
    <row r="57" spans="2:6" ht="15" hidden="1" x14ac:dyDescent="0.2">
      <c r="B57" s="97" t="s">
        <v>170</v>
      </c>
      <c r="C57" s="98" t="s">
        <v>123</v>
      </c>
      <c r="D57" s="173">
        <v>0.97799999999999998</v>
      </c>
      <c r="F57"/>
    </row>
    <row r="58" spans="2:6" ht="15" hidden="1" x14ac:dyDescent="0.2">
      <c r="B58" s="97" t="s">
        <v>171</v>
      </c>
      <c r="C58" s="98" t="s">
        <v>116</v>
      </c>
      <c r="D58" s="173">
        <v>1.0169999999999999</v>
      </c>
      <c r="F58"/>
    </row>
    <row r="59" spans="2:6" ht="15" hidden="1" x14ac:dyDescent="0.2">
      <c r="B59" s="97" t="s">
        <v>172</v>
      </c>
      <c r="C59" s="97" t="s">
        <v>118</v>
      </c>
      <c r="D59" s="173">
        <v>0.95399999999999996</v>
      </c>
      <c r="F59"/>
    </row>
    <row r="60" spans="2:6" ht="15" hidden="1" x14ac:dyDescent="0.2">
      <c r="B60" s="97" t="s">
        <v>173</v>
      </c>
      <c r="C60" s="98" t="s">
        <v>127</v>
      </c>
      <c r="D60" s="173">
        <v>1.01</v>
      </c>
      <c r="F60"/>
    </row>
    <row r="61" spans="2:6" ht="15" hidden="1" x14ac:dyDescent="0.2">
      <c r="B61" s="97" t="s">
        <v>174</v>
      </c>
      <c r="C61" s="98" t="s">
        <v>123</v>
      </c>
      <c r="D61" s="173">
        <v>0.97799999999999998</v>
      </c>
      <c r="F61"/>
    </row>
    <row r="62" spans="2:6" ht="15" hidden="1" x14ac:dyDescent="0.2">
      <c r="B62" s="97" t="s">
        <v>175</v>
      </c>
      <c r="C62" s="98" t="s">
        <v>125</v>
      </c>
      <c r="D62" s="173">
        <v>1.014</v>
      </c>
      <c r="F62"/>
    </row>
    <row r="63" spans="2:6" ht="15" hidden="1" x14ac:dyDescent="0.2">
      <c r="B63" s="97" t="s">
        <v>176</v>
      </c>
      <c r="C63" s="98" t="s">
        <v>123</v>
      </c>
      <c r="D63" s="173">
        <v>0.97799999999999998</v>
      </c>
      <c r="F63"/>
    </row>
    <row r="64" spans="2:6" ht="15" hidden="1" x14ac:dyDescent="0.2">
      <c r="B64" s="97" t="s">
        <v>177</v>
      </c>
      <c r="C64" s="97" t="s">
        <v>118</v>
      </c>
      <c r="D64" s="173">
        <v>0.95399999999999996</v>
      </c>
      <c r="F64"/>
    </row>
    <row r="65" spans="2:6" ht="15" hidden="1" x14ac:dyDescent="0.2">
      <c r="B65" s="97" t="s">
        <v>178</v>
      </c>
      <c r="C65" s="98" t="s">
        <v>142</v>
      </c>
      <c r="D65" s="173">
        <v>1.006</v>
      </c>
      <c r="F65"/>
    </row>
    <row r="66" spans="2:6" ht="15" hidden="1" x14ac:dyDescent="0.2">
      <c r="B66" s="97" t="s">
        <v>179</v>
      </c>
      <c r="C66" s="97" t="s">
        <v>118</v>
      </c>
      <c r="D66" s="173">
        <v>0.95399999999999996</v>
      </c>
      <c r="F66"/>
    </row>
    <row r="67" spans="2:6" ht="15" hidden="1" x14ac:dyDescent="0.2">
      <c r="B67" s="97" t="s">
        <v>180</v>
      </c>
      <c r="C67" s="97" t="s">
        <v>118</v>
      </c>
      <c r="D67" s="173">
        <v>0.95399999999999996</v>
      </c>
      <c r="F67"/>
    </row>
    <row r="68" spans="2:6" ht="15" hidden="1" x14ac:dyDescent="0.2">
      <c r="B68" s="97" t="s">
        <v>181</v>
      </c>
      <c r="C68" s="98" t="s">
        <v>114</v>
      </c>
      <c r="D68" s="173">
        <v>0.97099999999999997</v>
      </c>
      <c r="F68"/>
    </row>
    <row r="69" spans="2:6" ht="15" hidden="1" x14ac:dyDescent="0.2">
      <c r="B69" s="97" t="s">
        <v>182</v>
      </c>
      <c r="C69" s="98" t="s">
        <v>123</v>
      </c>
      <c r="D69" s="173">
        <v>0.97799999999999998</v>
      </c>
      <c r="F69"/>
    </row>
    <row r="70" spans="2:6" ht="15" hidden="1" x14ac:dyDescent="0.2">
      <c r="B70" s="97" t="s">
        <v>183</v>
      </c>
      <c r="C70" s="98" t="s">
        <v>184</v>
      </c>
      <c r="D70" s="173">
        <v>1.026</v>
      </c>
      <c r="F70"/>
    </row>
    <row r="71" spans="2:6" ht="15" hidden="1" x14ac:dyDescent="0.2">
      <c r="B71" s="97" t="s">
        <v>185</v>
      </c>
      <c r="C71" s="97" t="s">
        <v>118</v>
      </c>
      <c r="D71" s="173">
        <v>0.95399999999999996</v>
      </c>
      <c r="F71"/>
    </row>
    <row r="72" spans="2:6" ht="15" hidden="1" x14ac:dyDescent="0.2">
      <c r="B72" s="97" t="s">
        <v>186</v>
      </c>
      <c r="C72" s="97" t="s">
        <v>116</v>
      </c>
      <c r="D72" s="173">
        <v>1.0169999999999999</v>
      </c>
      <c r="F72"/>
    </row>
    <row r="73" spans="2:6" ht="15" hidden="1" x14ac:dyDescent="0.2">
      <c r="B73" s="97" t="s">
        <v>187</v>
      </c>
      <c r="C73" s="97" t="s">
        <v>118</v>
      </c>
      <c r="D73" s="173">
        <v>0.95399999999999996</v>
      </c>
      <c r="F73"/>
    </row>
    <row r="74" spans="2:6" ht="15" hidden="1" x14ac:dyDescent="0.2">
      <c r="B74" s="97" t="s">
        <v>188</v>
      </c>
      <c r="C74" s="98" t="s">
        <v>123</v>
      </c>
      <c r="D74" s="173">
        <v>0.97799999999999998</v>
      </c>
      <c r="F74"/>
    </row>
    <row r="75" spans="2:6" ht="15" hidden="1" x14ac:dyDescent="0.2">
      <c r="B75" s="97" t="s">
        <v>189</v>
      </c>
      <c r="C75" s="98" t="s">
        <v>123</v>
      </c>
      <c r="D75" s="173">
        <v>0.97799999999999998</v>
      </c>
      <c r="F75"/>
    </row>
    <row r="76" spans="2:6" ht="15" hidden="1" x14ac:dyDescent="0.2">
      <c r="B76" s="97" t="s">
        <v>190</v>
      </c>
      <c r="C76" s="98" t="s">
        <v>127</v>
      </c>
      <c r="D76" s="173">
        <v>1.01</v>
      </c>
      <c r="F76"/>
    </row>
    <row r="77" spans="2:6" ht="15" hidden="1" x14ac:dyDescent="0.2">
      <c r="B77" s="97" t="s">
        <v>191</v>
      </c>
      <c r="C77" s="98" t="s">
        <v>123</v>
      </c>
      <c r="D77" s="173">
        <v>0.97799999999999998</v>
      </c>
      <c r="F77"/>
    </row>
    <row r="78" spans="2:6" ht="15" hidden="1" x14ac:dyDescent="0.2">
      <c r="B78" s="97" t="s">
        <v>192</v>
      </c>
      <c r="C78" s="97" t="s">
        <v>118</v>
      </c>
      <c r="D78" s="173">
        <v>0.95399999999999996</v>
      </c>
      <c r="F78"/>
    </row>
    <row r="79" spans="2:6" ht="15" hidden="1" x14ac:dyDescent="0.2">
      <c r="B79" s="97" t="s">
        <v>193</v>
      </c>
      <c r="C79" s="98" t="s">
        <v>129</v>
      </c>
      <c r="D79" s="173">
        <v>0.97699999999999998</v>
      </c>
      <c r="F79"/>
    </row>
    <row r="80" spans="2:6" ht="15" hidden="1" x14ac:dyDescent="0.2">
      <c r="B80" s="97" t="s">
        <v>194</v>
      </c>
      <c r="C80" s="97" t="s">
        <v>116</v>
      </c>
      <c r="D80" s="173">
        <v>1.0169999999999999</v>
      </c>
      <c r="F80"/>
    </row>
    <row r="81" spans="2:6" ht="15" hidden="1" x14ac:dyDescent="0.2">
      <c r="B81" s="97" t="s">
        <v>195</v>
      </c>
      <c r="C81" s="98" t="s">
        <v>116</v>
      </c>
      <c r="D81" s="173">
        <v>1.0169999999999999</v>
      </c>
      <c r="F81"/>
    </row>
    <row r="82" spans="2:6" ht="15" hidden="1" x14ac:dyDescent="0.2">
      <c r="B82" s="97" t="s">
        <v>196</v>
      </c>
      <c r="C82" s="98" t="s">
        <v>116</v>
      </c>
      <c r="D82" s="173">
        <v>1.0169999999999999</v>
      </c>
      <c r="F82"/>
    </row>
    <row r="83" spans="2:6" ht="15" hidden="1" x14ac:dyDescent="0.2">
      <c r="B83" s="97" t="s">
        <v>197</v>
      </c>
      <c r="C83" s="98" t="s">
        <v>121</v>
      </c>
      <c r="D83" s="173">
        <v>0.996</v>
      </c>
      <c r="F83"/>
    </row>
    <row r="84" spans="2:6" ht="15" hidden="1" x14ac:dyDescent="0.2">
      <c r="B84" s="97" t="s">
        <v>198</v>
      </c>
      <c r="C84" s="98" t="s">
        <v>127</v>
      </c>
      <c r="D84" s="173">
        <v>1.01</v>
      </c>
      <c r="F84"/>
    </row>
    <row r="85" spans="2:6" ht="15" hidden="1" x14ac:dyDescent="0.2">
      <c r="B85" s="97" t="s">
        <v>199</v>
      </c>
      <c r="C85" s="97" t="s">
        <v>118</v>
      </c>
      <c r="D85" s="173">
        <v>0.95399999999999996</v>
      </c>
      <c r="F85"/>
    </row>
    <row r="86" spans="2:6" ht="15" hidden="1" x14ac:dyDescent="0.2">
      <c r="B86" s="97" t="s">
        <v>200</v>
      </c>
      <c r="C86" s="98" t="s">
        <v>123</v>
      </c>
      <c r="D86" s="173">
        <v>0.97799999999999998</v>
      </c>
      <c r="F86"/>
    </row>
    <row r="87" spans="2:6" ht="15" hidden="1" x14ac:dyDescent="0.2">
      <c r="B87" s="97" t="s">
        <v>201</v>
      </c>
      <c r="C87" s="97" t="s">
        <v>118</v>
      </c>
      <c r="D87" s="173">
        <v>0.95399999999999996</v>
      </c>
      <c r="F87"/>
    </row>
    <row r="88" spans="2:6" ht="15" hidden="1" x14ac:dyDescent="0.2">
      <c r="B88" s="97" t="s">
        <v>202</v>
      </c>
      <c r="C88" s="97" t="s">
        <v>118</v>
      </c>
      <c r="D88" s="173">
        <v>0.95399999999999996</v>
      </c>
      <c r="F88"/>
    </row>
    <row r="89" spans="2:6" ht="15" hidden="1" x14ac:dyDescent="0.2">
      <c r="B89" s="97" t="s">
        <v>203</v>
      </c>
      <c r="C89" s="98" t="s">
        <v>142</v>
      </c>
      <c r="D89" s="173">
        <v>1.006</v>
      </c>
      <c r="F89"/>
    </row>
    <row r="90" spans="2:6" ht="15" hidden="1" x14ac:dyDescent="0.2">
      <c r="B90" s="97" t="s">
        <v>204</v>
      </c>
      <c r="C90" s="97" t="s">
        <v>118</v>
      </c>
      <c r="D90" s="173">
        <v>0.95399999999999996</v>
      </c>
      <c r="F90"/>
    </row>
    <row r="91" spans="2:6" ht="15" hidden="1" x14ac:dyDescent="0.2">
      <c r="B91" s="97" t="s">
        <v>205</v>
      </c>
      <c r="C91" s="98" t="s">
        <v>127</v>
      </c>
      <c r="D91" s="173">
        <v>1.01</v>
      </c>
      <c r="F91"/>
    </row>
    <row r="92" spans="2:6" ht="15" hidden="1" x14ac:dyDescent="0.2">
      <c r="B92" s="97" t="s">
        <v>206</v>
      </c>
      <c r="C92" s="97" t="s">
        <v>116</v>
      </c>
      <c r="D92" s="173">
        <v>1.0169999999999999</v>
      </c>
      <c r="F92"/>
    </row>
    <row r="93" spans="2:6" ht="15" hidden="1" x14ac:dyDescent="0.2">
      <c r="B93" s="97" t="s">
        <v>207</v>
      </c>
      <c r="C93" s="98" t="s">
        <v>127</v>
      </c>
      <c r="D93" s="173">
        <v>1.01</v>
      </c>
      <c r="F93"/>
    </row>
    <row r="94" spans="2:6" ht="15" hidden="1" x14ac:dyDescent="0.2">
      <c r="B94" s="97" t="s">
        <v>208</v>
      </c>
      <c r="C94" s="97" t="s">
        <v>118</v>
      </c>
      <c r="D94" s="173">
        <v>0.95399999999999996</v>
      </c>
      <c r="F94"/>
    </row>
    <row r="95" spans="2:6" ht="15" hidden="1" x14ac:dyDescent="0.2">
      <c r="B95" s="97" t="s">
        <v>209</v>
      </c>
      <c r="C95" s="98" t="s">
        <v>127</v>
      </c>
      <c r="D95" s="173">
        <v>1.01</v>
      </c>
      <c r="F95"/>
    </row>
    <row r="96" spans="2:6" ht="15" hidden="1" x14ac:dyDescent="0.2">
      <c r="B96" s="97" t="s">
        <v>210</v>
      </c>
      <c r="C96" s="98" t="s">
        <v>116</v>
      </c>
      <c r="D96" s="173">
        <v>1.0169999999999999</v>
      </c>
      <c r="F96"/>
    </row>
    <row r="97" spans="2:6" ht="15" hidden="1" x14ac:dyDescent="0.2">
      <c r="B97" s="137" t="s">
        <v>211</v>
      </c>
      <c r="C97" s="138" t="s">
        <v>123</v>
      </c>
      <c r="D97" s="174">
        <v>0.97799999999999998</v>
      </c>
      <c r="F97"/>
    </row>
    <row r="98" spans="2:6" hidden="1" x14ac:dyDescent="0.2">
      <c r="B98" s="139" t="s">
        <v>239</v>
      </c>
      <c r="C98" s="139" t="s">
        <v>118</v>
      </c>
      <c r="D98" s="175">
        <v>0.95399999999999996</v>
      </c>
    </row>
    <row r="99" spans="2:6" hidden="1" x14ac:dyDescent="0.2">
      <c r="B99" s="139" t="s">
        <v>240</v>
      </c>
      <c r="C99" s="139" t="s">
        <v>118</v>
      </c>
      <c r="D99" s="175">
        <v>0.95399999999999996</v>
      </c>
    </row>
    <row r="100" spans="2:6" hidden="1" x14ac:dyDescent="0.2">
      <c r="B100" s="139" t="s">
        <v>241</v>
      </c>
      <c r="C100" s="139" t="s">
        <v>123</v>
      </c>
      <c r="D100" s="175">
        <v>0.97799999999999998</v>
      </c>
    </row>
    <row r="101" spans="2:6" hidden="1" x14ac:dyDescent="0.2">
      <c r="B101" s="139" t="s">
        <v>242</v>
      </c>
      <c r="C101" s="139" t="s">
        <v>116</v>
      </c>
      <c r="D101" s="175">
        <v>1.0169999999999999</v>
      </c>
    </row>
    <row r="102" spans="2:6" hidden="1" x14ac:dyDescent="0.2">
      <c r="B102" s="139" t="s">
        <v>243</v>
      </c>
      <c r="C102" s="139" t="s">
        <v>123</v>
      </c>
      <c r="D102" s="175">
        <v>0.97799999999999998</v>
      </c>
    </row>
    <row r="103" spans="2:6" hidden="1" x14ac:dyDescent="0.2">
      <c r="B103" s="139" t="s">
        <v>244</v>
      </c>
      <c r="C103" s="139" t="s">
        <v>116</v>
      </c>
      <c r="D103" s="175">
        <v>1.0169999999999999</v>
      </c>
    </row>
    <row r="104" spans="2:6" hidden="1" x14ac:dyDescent="0.2">
      <c r="B104" s="139" t="s">
        <v>245</v>
      </c>
      <c r="C104" s="139" t="s">
        <v>114</v>
      </c>
      <c r="D104" s="175">
        <v>0.97099999999999997</v>
      </c>
    </row>
    <row r="105" spans="2:6" hidden="1" x14ac:dyDescent="0.2">
      <c r="B105" s="139" t="s">
        <v>246</v>
      </c>
      <c r="C105" s="139" t="s">
        <v>129</v>
      </c>
      <c r="D105" s="175">
        <v>0.97699999999999998</v>
      </c>
    </row>
    <row r="106" spans="2:6" hidden="1" x14ac:dyDescent="0.2">
      <c r="B106" s="139" t="s">
        <v>247</v>
      </c>
      <c r="C106" s="139" t="s">
        <v>118</v>
      </c>
      <c r="D106" s="176">
        <v>0.95399999999999996</v>
      </c>
    </row>
    <row r="107" spans="2:6" hidden="1" x14ac:dyDescent="0.2">
      <c r="B107" s="139" t="s">
        <v>248</v>
      </c>
      <c r="C107" s="139" t="s">
        <v>114</v>
      </c>
      <c r="D107" s="175">
        <v>0.97099999999999997</v>
      </c>
    </row>
    <row r="108" spans="2:6" hidden="1" x14ac:dyDescent="0.2">
      <c r="B108" s="139" t="s">
        <v>249</v>
      </c>
      <c r="C108" s="139" t="s">
        <v>127</v>
      </c>
      <c r="D108" s="175">
        <v>1.01</v>
      </c>
    </row>
  </sheetData>
  <sheetProtection algorithmName="SHA-512" hashValue="GnYXV/I7Q/ddfJ9Kwx+2H0wJhdM4ouC+R1COb32iMF/IeOMXvrTSm7alQzBOPeQEtl4v5BHG63R9p73pNLdwXQ==" saltValue="+jSHpTfSWIZ7Q3AQ8g5aH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44"/>
  <sheetViews>
    <sheetView zoomScale="125" workbookViewId="0"/>
  </sheetViews>
  <sheetFormatPr defaultColWidth="9.140625" defaultRowHeight="12.75" x14ac:dyDescent="0.2"/>
  <cols>
    <col min="1" max="1" width="41.5703125" style="2" customWidth="1"/>
    <col min="2" max="2" width="25" style="2" customWidth="1"/>
    <col min="3" max="4" width="15.7109375" style="2" customWidth="1"/>
    <col min="5" max="5" width="15.7109375" style="109" customWidth="1"/>
    <col min="6" max="6" width="11.28515625" style="2" bestFit="1" customWidth="1"/>
    <col min="7" max="16384" width="9.140625" style="2"/>
  </cols>
  <sheetData>
    <row r="1" spans="1:6" ht="15" x14ac:dyDescent="0.2">
      <c r="A1" s="19" t="s">
        <v>235</v>
      </c>
      <c r="B1" s="19"/>
      <c r="C1" s="21"/>
      <c r="D1" s="19"/>
      <c r="F1" s="21"/>
    </row>
    <row r="2" spans="1:6" x14ac:dyDescent="0.2">
      <c r="A2" s="21"/>
      <c r="C2" s="21"/>
      <c r="F2" s="21"/>
    </row>
    <row r="3" spans="1:6" x14ac:dyDescent="0.2">
      <c r="A3" s="4" t="s">
        <v>16</v>
      </c>
      <c r="B3" s="20"/>
      <c r="C3" s="21"/>
      <c r="D3" s="4" t="s">
        <v>50</v>
      </c>
      <c r="F3" s="21"/>
    </row>
    <row r="4" spans="1:6" x14ac:dyDescent="0.2">
      <c r="A4" s="22" t="s">
        <v>17</v>
      </c>
      <c r="B4" s="170">
        <f>'Direct Staffing'!C68</f>
        <v>0</v>
      </c>
      <c r="C4" s="21"/>
      <c r="D4" s="31">
        <f>B4</f>
        <v>0</v>
      </c>
      <c r="F4" s="21"/>
    </row>
    <row r="5" spans="1:6" x14ac:dyDescent="0.2">
      <c r="A5" s="21"/>
      <c r="B5" s="20"/>
      <c r="C5" s="21"/>
      <c r="D5" s="3"/>
      <c r="F5" s="21"/>
    </row>
    <row r="6" spans="1:6" x14ac:dyDescent="0.2">
      <c r="A6" s="4" t="s">
        <v>83</v>
      </c>
      <c r="B6" s="20"/>
      <c r="C6" s="21"/>
      <c r="D6" s="4"/>
      <c r="F6" s="21"/>
    </row>
    <row r="7" spans="1:6" x14ac:dyDescent="0.2">
      <c r="A7" s="27" t="s">
        <v>84</v>
      </c>
      <c r="B7" s="23">
        <f>'Direct Staffing'!C71</f>
        <v>0</v>
      </c>
      <c r="C7" s="21"/>
      <c r="D7" s="31">
        <f>B7</f>
        <v>0</v>
      </c>
      <c r="F7" s="21"/>
    </row>
    <row r="8" spans="1:6" x14ac:dyDescent="0.2">
      <c r="A8" s="21"/>
      <c r="B8" s="20"/>
      <c r="C8" s="21"/>
      <c r="D8" s="3"/>
      <c r="F8" s="21"/>
    </row>
    <row r="9" spans="1:6" x14ac:dyDescent="0.2">
      <c r="A9" s="4" t="s">
        <v>1</v>
      </c>
      <c r="B9" s="20"/>
      <c r="C9" s="21"/>
      <c r="D9" s="3"/>
      <c r="F9" s="21"/>
    </row>
    <row r="10" spans="1:6" x14ac:dyDescent="0.2">
      <c r="A10" s="22" t="s">
        <v>9</v>
      </c>
      <c r="B10" s="29">
        <f>'Employee Related Expenses'!C19</f>
        <v>0.23599999999999999</v>
      </c>
      <c r="C10" s="21"/>
      <c r="D10" s="31">
        <f>B10*B4</f>
        <v>0</v>
      </c>
      <c r="F10" s="21"/>
    </row>
    <row r="11" spans="1:6" x14ac:dyDescent="0.2">
      <c r="A11" s="21"/>
      <c r="B11" s="20"/>
      <c r="C11" s="21"/>
      <c r="D11" s="3"/>
      <c r="F11" s="21"/>
    </row>
    <row r="12" spans="1:6" x14ac:dyDescent="0.2">
      <c r="A12" s="4" t="s">
        <v>10</v>
      </c>
      <c r="B12" s="20"/>
      <c r="C12" s="21"/>
      <c r="D12" s="3"/>
      <c r="F12" s="21"/>
    </row>
    <row r="13" spans="1:6" x14ac:dyDescent="0.2">
      <c r="A13" s="22" t="s">
        <v>13</v>
      </c>
      <c r="B13" s="171">
        <f>Transportation!C13</f>
        <v>0</v>
      </c>
      <c r="C13" s="21"/>
      <c r="D13" s="31">
        <f>B13/365</f>
        <v>0</v>
      </c>
      <c r="F13" s="21"/>
    </row>
    <row r="14" spans="1:6" x14ac:dyDescent="0.2">
      <c r="A14" s="21"/>
      <c r="B14" s="20"/>
      <c r="C14" s="21"/>
      <c r="D14" s="3"/>
      <c r="F14" s="21"/>
    </row>
    <row r="15" spans="1:6" x14ac:dyDescent="0.2">
      <c r="A15" s="4" t="s">
        <v>35</v>
      </c>
      <c r="B15" s="20"/>
      <c r="C15" s="21"/>
      <c r="D15" s="3"/>
      <c r="F15" s="21"/>
    </row>
    <row r="16" spans="1:6" x14ac:dyDescent="0.2">
      <c r="A16" s="22" t="s">
        <v>15</v>
      </c>
      <c r="B16" s="172">
        <f>'Client Programming &amp; Supports'!C5</f>
        <v>2375.48</v>
      </c>
      <c r="C16" s="21"/>
      <c r="D16" s="31">
        <f>B16/365</f>
        <v>6.5081643835616436</v>
      </c>
      <c r="F16" s="21"/>
    </row>
    <row r="17" spans="1:6" x14ac:dyDescent="0.2">
      <c r="A17" s="21"/>
      <c r="B17" s="20"/>
      <c r="C17" s="21"/>
      <c r="D17" s="3"/>
      <c r="F17" s="21"/>
    </row>
    <row r="18" spans="1:6" x14ac:dyDescent="0.2">
      <c r="A18" s="4" t="s">
        <v>54</v>
      </c>
      <c r="B18" s="20"/>
      <c r="C18" s="21"/>
      <c r="D18" s="3"/>
      <c r="F18" s="21"/>
    </row>
    <row r="19" spans="1:6" x14ac:dyDescent="0.2">
      <c r="A19" s="27" t="s">
        <v>62</v>
      </c>
      <c r="B19" s="28">
        <f>'Program Related Expenses'!E16</f>
        <v>6.3E-2</v>
      </c>
      <c r="C19" s="21"/>
      <c r="D19" s="31">
        <f>E19-(D4+D10+D13+D16+D7)</f>
        <v>0.43758202365462484</v>
      </c>
      <c r="E19" s="109">
        <f>(D4+D7+D10+D13+D16)/(1-B19)</f>
        <v>6.9457464072162685</v>
      </c>
      <c r="F19" s="21"/>
    </row>
    <row r="20" spans="1:6" x14ac:dyDescent="0.2">
      <c r="A20" s="99"/>
      <c r="B20" s="100"/>
      <c r="C20" s="21"/>
      <c r="D20" s="31"/>
      <c r="F20" s="21"/>
    </row>
    <row r="21" spans="1:6" s="104" customFormat="1" x14ac:dyDescent="0.2">
      <c r="A21" s="101" t="s">
        <v>212</v>
      </c>
      <c r="B21" s="102"/>
      <c r="C21" s="103"/>
      <c r="D21" s="103"/>
      <c r="E21" s="109"/>
      <c r="F21" s="21"/>
    </row>
    <row r="22" spans="1:6" s="104" customFormat="1" x14ac:dyDescent="0.2">
      <c r="A22" s="105" t="s">
        <v>213</v>
      </c>
      <c r="B22" s="106" t="str">
        <f>'Regional Variance Factor'!B7</f>
        <v>-</v>
      </c>
      <c r="C22" s="107"/>
      <c r="D22" s="108" t="str">
        <f>IF((B22&lt;&gt;"-"),((E19*B22)-E19),"Select County")</f>
        <v>Select County</v>
      </c>
      <c r="E22" s="109"/>
      <c r="F22" s="21"/>
    </row>
    <row r="23" spans="1:6" x14ac:dyDescent="0.2">
      <c r="A23" s="21"/>
      <c r="B23" s="20"/>
      <c r="C23" s="21"/>
      <c r="D23" s="3"/>
      <c r="F23" s="21"/>
    </row>
    <row r="24" spans="1:6" x14ac:dyDescent="0.2">
      <c r="A24" s="24" t="s">
        <v>71</v>
      </c>
      <c r="B24" s="23" t="str">
        <f>D24</f>
        <v>Select County</v>
      </c>
      <c r="C24" s="21"/>
      <c r="D24" s="32" t="str">
        <f>IF((B22&lt;&gt;"-"),E19+D22,"Select County")</f>
        <v>Select County</v>
      </c>
      <c r="F24" s="21"/>
    </row>
    <row r="25" spans="1:6" x14ac:dyDescent="0.2">
      <c r="A25" s="21"/>
      <c r="C25" s="21"/>
      <c r="F25" s="21"/>
    </row>
    <row r="26" spans="1:6" s="143" customFormat="1" hidden="1" x14ac:dyDescent="0.2">
      <c r="A26" s="140" t="s">
        <v>69</v>
      </c>
      <c r="B26" s="141">
        <v>1</v>
      </c>
      <c r="C26" s="142"/>
      <c r="E26" s="144"/>
      <c r="F26" s="142"/>
    </row>
    <row r="27" spans="1:6" s="143" customFormat="1" hidden="1" x14ac:dyDescent="0.2">
      <c r="A27" s="145" t="s">
        <v>70</v>
      </c>
      <c r="B27" s="146" t="str">
        <f>IF((B22&lt;&gt;"-"),B29-B24,"-")</f>
        <v>-</v>
      </c>
      <c r="C27" s="142"/>
      <c r="E27" s="144"/>
      <c r="F27" s="142"/>
    </row>
    <row r="28" spans="1:6" s="143" customFormat="1" hidden="1" x14ac:dyDescent="0.2">
      <c r="A28" s="142"/>
      <c r="B28" s="142"/>
      <c r="C28" s="142"/>
      <c r="E28" s="144"/>
      <c r="F28" s="142"/>
    </row>
    <row r="29" spans="1:6" x14ac:dyDescent="0.2">
      <c r="A29" s="24" t="s">
        <v>250</v>
      </c>
      <c r="B29" s="36" t="str">
        <f>IF((B22&lt;&gt;"-"),B26*B24,"Select County")</f>
        <v>Select County</v>
      </c>
      <c r="C29" s="21"/>
      <c r="F29" s="21"/>
    </row>
    <row r="30" spans="1:6" x14ac:dyDescent="0.2">
      <c r="A30" s="21"/>
      <c r="B30" s="21"/>
    </row>
    <row r="31" spans="1:6" hidden="1" x14ac:dyDescent="0.2">
      <c r="A31" s="34" t="s">
        <v>91</v>
      </c>
      <c r="B31" s="39">
        <v>0.01</v>
      </c>
      <c r="C31" s="21"/>
      <c r="F31" s="21"/>
    </row>
    <row r="32" spans="1:6" hidden="1" x14ac:dyDescent="0.2">
      <c r="A32" s="33" t="s">
        <v>92</v>
      </c>
      <c r="B32" s="35" t="str">
        <f>IF((B22&lt;&gt;"-"),B29*B31,"-")</f>
        <v>-</v>
      </c>
      <c r="C32" s="21"/>
      <c r="F32" s="21"/>
    </row>
    <row r="33" spans="1:6" hidden="1" x14ac:dyDescent="0.2">
      <c r="A33" s="21"/>
      <c r="B33" s="21"/>
      <c r="C33" s="21"/>
      <c r="F33" s="21"/>
    </row>
    <row r="34" spans="1:6" hidden="1" x14ac:dyDescent="0.2">
      <c r="A34" s="24" t="s">
        <v>94</v>
      </c>
      <c r="B34" s="36" t="str">
        <f>IF((B22&lt;&gt;"-"),B29+B32,"-")</f>
        <v>-</v>
      </c>
      <c r="C34" s="21"/>
      <c r="F34" s="21"/>
    </row>
    <row r="35" spans="1:6" hidden="1" x14ac:dyDescent="0.2"/>
    <row r="36" spans="1:6" hidden="1" x14ac:dyDescent="0.2">
      <c r="A36" s="34" t="s">
        <v>95</v>
      </c>
      <c r="B36" s="39">
        <v>0.05</v>
      </c>
      <c r="C36" s="21"/>
      <c r="F36" s="21"/>
    </row>
    <row r="37" spans="1:6" hidden="1" x14ac:dyDescent="0.2">
      <c r="A37" s="33" t="s">
        <v>92</v>
      </c>
      <c r="B37" s="35" t="str">
        <f>IF((B22&lt;&gt;"-"),B34*B36,"-")</f>
        <v>-</v>
      </c>
      <c r="C37" s="21"/>
      <c r="F37" s="21"/>
    </row>
    <row r="38" spans="1:6" hidden="1" x14ac:dyDescent="0.2">
      <c r="A38" s="21"/>
      <c r="B38" s="21"/>
      <c r="C38" s="21"/>
      <c r="F38" s="21"/>
    </row>
    <row r="39" spans="1:6" hidden="1" x14ac:dyDescent="0.2">
      <c r="A39" s="24" t="s">
        <v>96</v>
      </c>
      <c r="B39" s="36" t="str">
        <f>IF((B22&lt;&gt;"-"),B34+B37,"-")</f>
        <v>-</v>
      </c>
      <c r="C39" s="21"/>
      <c r="F39" s="21"/>
    </row>
    <row r="40" spans="1:6" hidden="1" x14ac:dyDescent="0.2"/>
    <row r="41" spans="1:6" hidden="1" x14ac:dyDescent="0.2">
      <c r="A41" s="34" t="s">
        <v>102</v>
      </c>
      <c r="B41" s="39">
        <v>0.01</v>
      </c>
      <c r="C41" s="21"/>
      <c r="F41" s="21"/>
    </row>
    <row r="42" spans="1:6" hidden="1" x14ac:dyDescent="0.2">
      <c r="A42" s="33" t="s">
        <v>92</v>
      </c>
      <c r="B42" s="35" t="str">
        <f>IF((B22&lt;&gt;"-"),B39*B41,"-")</f>
        <v>-</v>
      </c>
      <c r="C42" s="21"/>
      <c r="F42" s="21"/>
    </row>
    <row r="43" spans="1:6" hidden="1" x14ac:dyDescent="0.2">
      <c r="A43" s="21"/>
      <c r="B43" s="21"/>
      <c r="C43" s="21"/>
      <c r="F43" s="21"/>
    </row>
    <row r="44" spans="1:6" hidden="1" x14ac:dyDescent="0.2">
      <c r="A44" s="24" t="s">
        <v>103</v>
      </c>
      <c r="B44" s="36" t="str">
        <f>IF((B22&lt;&gt;"-"),B39+B42,"Select County")</f>
        <v>Select County</v>
      </c>
      <c r="C44" s="21"/>
      <c r="F44" s="21"/>
    </row>
  </sheetData>
  <sheetProtection algorithmName="SHA-512" hashValue="yNKr4PiBshqQ+hbRtDuJwQ1mmgO1pXSay1Dtzbico0IzdjHdaxcs+b4PeuZdM4l7Wn7lkhNWcmYiF+9B1sADeQ==" saltValue="1b/qURFjfyaoxNArzqlDfw==" spinCount="100000" sheet="1" objects="1" scenarios="1"/>
  <phoneticPr fontId="2" type="noConversion"/>
  <dataValidations xWindow="921" yWindow="602" count="23">
    <dataValidation allowBlank="1" showInputMessage="1" showErrorMessage="1" prompt="Total Costs for Individual and Shared Staffing formula is equal to Total Staffing from Direct Staffing sheet" sqref="B4"/>
    <dataValidation allowBlank="1" showInputMessage="1" showErrorMessage="1" prompt="Direct Staffing Rate Calculation formula is equal to Total Costs for Individual and Shared Staffing" sqref="D4"/>
    <dataValidation allowBlank="1" showInputMessage="1" showErrorMessage="1" prompt="Total Benefit Percentage formula is equal to Total Benefit Percentage from Employee Related Expenses sheet" sqref="B10"/>
    <dataValidation allowBlank="1" showInputMessage="1" showErrorMessage="1" prompt="Employee Related Expenses Rate Calculation formula is Total Benefit Percentage times Total Costs for Individual and Shared Staffing" sqref="D10"/>
    <dataValidation allowBlank="1" showInputMessage="1" showErrorMessage="1" prompt="Transportation Standard formula is equal to Total Transportation from Transportation sheet" sqref="B13"/>
    <dataValidation allowBlank="1" showInputMessage="1" showErrorMessage="1" prompt="Transportation Rate Calculation formula is equal to Transportation Standard" sqref="D13"/>
    <dataValidation allowBlank="1" showInputMessage="1" showErrorMessage="1" prompt="Program Support Annual Standard formula is equal to Client Programming and Supports Annual Standard from Client Programming &amp; Supports sheet" sqref="B16"/>
    <dataValidation allowBlank="1" showInputMessage="1" showErrorMessage="1" prompt="Client Programming &amp; Supports Rate Calculation formula is equal to Program Support Annual Standard" sqref="D16"/>
    <dataValidation allowBlank="1" showInputMessage="1" showErrorMessage="1" prompt="Program Related Expenses Percentage formula is equal to Total Program Related Expenses and G&amp;A Support from Program Related Expenses sheet" sqref="B19:B2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dataValidation allowBlank="1" showInputMessage="1" showErrorMessage="1" prompt="Daily Rate formula is Annual Rate divided by 365" sqref="B24"/>
    <dataValidation allowBlank="1" showInputMessage="1" showErrorMessage="1" prompt="Budget Neutrality Rate" sqref="B26 B21"/>
    <dataValidation allowBlank="1" showInputMessage="1" showErrorMessage="1" prompt="Cost of Living Adjustment formula is Original Total Daily Rate multiplied by COLA Increase" sqref="B42"/>
    <dataValidation allowBlank="1" showInputMessage="1" showErrorMessage="1" prompt="Post COLA Total Daily Rate is Original Total Daily Rate plus Cost of Living Adjustment" sqref="B34 B39 B44"/>
    <dataValidation allowBlank="1" showInputMessage="1" showErrorMessage="1" prompt="Total Costs for Remote Shared Staffing formula is equal to Total Remote Shared Staffing Amount from Direct Staffing sheet" sqref="B7"/>
    <dataValidation allowBlank="1" showInputMessage="1" showErrorMessage="1" prompt="Remote Staffing Rate Calculation is equal to Total Costs for Remote Shared Staffing" sqref="D7"/>
    <dataValidation allowBlank="1" showInputMessage="1" showErrorMessage="1" prompt="Daily Budget Neutrality formula is Original Total Daily Rate minus Daily Rate" sqref="B27"/>
    <dataValidation allowBlank="1" showInputMessage="1" showErrorMessage="1" prompt="Original Total Daily Rate is Daily Rate times Budget Neutrality Rate" sqref="B29"/>
    <dataValidation allowBlank="1" showInputMessage="1" showErrorMessage="1" prompt="4/1/2014 COLA Increase" sqref="B31 B36 B41"/>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dataValidation allowBlank="1" showInputMessage="1" showErrorMessage="1" prompt="Unit Regional Variance formula is Unit Rate multiplied by the appropriate Regional Variance Factor" sqref="B22"/>
    <dataValidation allowBlank="1" showInputMessage="1" showErrorMessage="1" prompt="Cost of Living Adjustment formula is Original Total Daily Rate multiplied by COLA Increase" sqref="B32 B37"/>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C19"/>
  <sheetViews>
    <sheetView workbookViewId="0">
      <selection activeCell="A4" sqref="A4:XFD19"/>
    </sheetView>
  </sheetViews>
  <sheetFormatPr defaultRowHeight="12.75" x14ac:dyDescent="0.2"/>
  <cols>
    <col min="2" max="2" width="46" customWidth="1"/>
  </cols>
  <sheetData>
    <row r="2" spans="1:3" ht="13.5" customHeight="1" x14ac:dyDescent="0.2"/>
    <row r="4" spans="1:3" hidden="1" x14ac:dyDescent="0.2">
      <c r="A4" s="147" t="s">
        <v>87</v>
      </c>
      <c r="B4" s="147" t="s">
        <v>88</v>
      </c>
      <c r="C4" s="147"/>
    </row>
    <row r="5" spans="1:3" hidden="1" x14ac:dyDescent="0.2">
      <c r="A5" s="148">
        <v>41640</v>
      </c>
      <c r="B5" s="149" t="s">
        <v>89</v>
      </c>
      <c r="C5" s="147" t="s">
        <v>99</v>
      </c>
    </row>
    <row r="6" spans="1:3" hidden="1" x14ac:dyDescent="0.2">
      <c r="A6" s="148">
        <v>41709</v>
      </c>
      <c r="B6" s="149" t="s">
        <v>90</v>
      </c>
      <c r="C6" s="147" t="s">
        <v>100</v>
      </c>
    </row>
    <row r="7" spans="1:3" hidden="1" x14ac:dyDescent="0.2">
      <c r="A7" s="148">
        <v>41808</v>
      </c>
      <c r="B7" s="149" t="s">
        <v>93</v>
      </c>
      <c r="C7" s="147" t="s">
        <v>101</v>
      </c>
    </row>
    <row r="8" spans="1:3" hidden="1" x14ac:dyDescent="0.2">
      <c r="A8" s="148">
        <v>42164</v>
      </c>
      <c r="B8" s="149" t="s">
        <v>97</v>
      </c>
      <c r="C8" s="147" t="s">
        <v>98</v>
      </c>
    </row>
    <row r="9" spans="1:3" hidden="1" x14ac:dyDescent="0.2">
      <c r="A9" s="148">
        <v>42339</v>
      </c>
      <c r="B9" s="149" t="s">
        <v>214</v>
      </c>
      <c r="C9" s="147" t="s">
        <v>215</v>
      </c>
    </row>
    <row r="10" spans="1:3" hidden="1" x14ac:dyDescent="0.2">
      <c r="A10" s="148">
        <v>42522</v>
      </c>
      <c r="B10" s="150" t="s">
        <v>234</v>
      </c>
      <c r="C10" s="151" t="s">
        <v>216</v>
      </c>
    </row>
    <row r="11" spans="1:3" ht="25.5" hidden="1" x14ac:dyDescent="0.2">
      <c r="A11" s="148">
        <v>42887</v>
      </c>
      <c r="B11" s="150" t="s">
        <v>237</v>
      </c>
      <c r="C11" s="151" t="s">
        <v>238</v>
      </c>
    </row>
    <row r="12" spans="1:3" hidden="1" x14ac:dyDescent="0.2">
      <c r="A12" s="148">
        <v>43282</v>
      </c>
      <c r="B12" s="150" t="s">
        <v>251</v>
      </c>
      <c r="C12" s="151" t="s">
        <v>252</v>
      </c>
    </row>
    <row r="13" spans="1:3" ht="25.5" hidden="1" x14ac:dyDescent="0.2">
      <c r="A13" s="148">
        <v>43466</v>
      </c>
      <c r="B13" s="150" t="s">
        <v>254</v>
      </c>
      <c r="C13" s="151" t="s">
        <v>253</v>
      </c>
    </row>
    <row r="14" spans="1:3" hidden="1" x14ac:dyDescent="0.2">
      <c r="A14" s="148">
        <v>43831</v>
      </c>
      <c r="B14" s="151" t="s">
        <v>256</v>
      </c>
      <c r="C14" s="151" t="s">
        <v>255</v>
      </c>
    </row>
    <row r="15" spans="1:3" hidden="1" x14ac:dyDescent="0.2">
      <c r="A15" s="148">
        <v>43831</v>
      </c>
      <c r="B15" s="153" t="s">
        <v>258</v>
      </c>
      <c r="C15" s="153" t="s">
        <v>257</v>
      </c>
    </row>
    <row r="16" spans="1:3" hidden="1" x14ac:dyDescent="0.2">
      <c r="A16" s="148">
        <v>44197</v>
      </c>
      <c r="B16" s="147" t="s">
        <v>272</v>
      </c>
      <c r="C16" s="153" t="s">
        <v>273</v>
      </c>
    </row>
    <row r="17" spans="1:3" hidden="1" x14ac:dyDescent="0.2">
      <c r="A17" s="148">
        <v>44378</v>
      </c>
      <c r="B17" s="147" t="s">
        <v>272</v>
      </c>
      <c r="C17" s="153" t="s">
        <v>274</v>
      </c>
    </row>
    <row r="18" spans="1:3" ht="89.25" hidden="1" x14ac:dyDescent="0.2">
      <c r="A18" s="163">
        <v>44562</v>
      </c>
      <c r="B18" s="164" t="s">
        <v>275</v>
      </c>
      <c r="C18" s="153" t="s">
        <v>276</v>
      </c>
    </row>
    <row r="19" spans="1:3" ht="38.25" hidden="1" x14ac:dyDescent="0.2">
      <c r="A19" s="163">
        <v>44719</v>
      </c>
      <c r="B19" s="149" t="s">
        <v>277</v>
      </c>
      <c r="C19" s="153" t="s">
        <v>278</v>
      </c>
    </row>
  </sheetData>
  <sheetProtection algorithmName="SHA-512" hashValue="RkUe2GEQ4UAiLH8ACx+hJWQT0ufBKgckUhscBNjPiChhq3gf1k/sBd+aN6qQfdMcXErSIgD72EpnnBy6pnlNWw==" saltValue="5QLydK/mzxJnjNPQp+lzzw==" spinCount="100000"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S2EJPDAADAY4-1521811817-566</_dlc_DocId>
    <_dlc_DocIdUrl xmlns="0cdeeaad-74a8-4021-893f-c7b31297a14c">
      <Url>https://workplace/cc/MnSPA/_layouts/15/DocIdRedir.aspx?ID=S2EJPDAADAY4-1521811817-566</Url>
      <Description>S2EJPDAADAY4-1521811817-566</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2ED2CF-866A-49B3-A605-3719BD944B26}">
  <ds:schemaRefs>
    <ds:schemaRef ds:uri="http://schemas.microsoft.com/sharepoint/events"/>
  </ds:schemaRefs>
</ds:datastoreItem>
</file>

<file path=customXml/itemProps2.xml><?xml version="1.0" encoding="utf-8"?>
<ds:datastoreItem xmlns:ds="http://schemas.openxmlformats.org/officeDocument/2006/customXml" ds:itemID="{45E14262-AAC9-42F5-A4DC-2AD69E85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6822DE-E334-4823-9F05-31E7DA3EB554}">
  <ds:schemaRefs>
    <ds:schemaRef ds:uri="http://schemas.microsoft.com/office/2006/metadata/longProperties"/>
  </ds:schemaRefs>
</ds:datastoreItem>
</file>

<file path=customXml/itemProps4.xml><?xml version="1.0" encoding="utf-8"?>
<ds:datastoreItem xmlns:ds="http://schemas.openxmlformats.org/officeDocument/2006/customXml" ds:itemID="{D6206F65-F68C-44AD-A308-2677FC57D85B}">
  <ds:schemaRefs>
    <ds:schemaRef ds:uri="0cdeeaad-74a8-4021-893f-c7b31297a14c"/>
    <ds:schemaRef ds:uri="http://schemas.microsoft.com/office/2006/documentManagement/types"/>
    <ds:schemaRef ds:uri="39dc04e4-1dc7-4207-b25c-d7db9724c689"/>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F999DDAA-5331-4BB3-A23B-3F236F2DD4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Family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Family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Family Residential Services v16</dc:title>
  <dc:creator>pwmfb67</dc:creator>
  <cp:lastModifiedBy>Sherpa, Tashi</cp:lastModifiedBy>
  <cp:lastPrinted>2013-06-21T18:14:09Z</cp:lastPrinted>
  <dcterms:created xsi:type="dcterms:W3CDTF">2009-10-20T14:58:44Z</dcterms:created>
  <dcterms:modified xsi:type="dcterms:W3CDTF">2022-06-28T13:36:50Z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S2EJPDAADAY4-1521811817-566</vt:lpwstr>
  </property>
  <property fmtid="{D5CDD505-2E9C-101B-9397-08002B2CF9AE}" pid="17" name="_dlc_DocIdItemGuid">
    <vt:lpwstr>5062cd9b-eca9-418c-9ccf-13743fec0967</vt:lpwstr>
  </property>
  <property fmtid="{D5CDD505-2E9C-101B-9397-08002B2CF9AE}" pid="18" name="_dlc_DocIdUrl">
    <vt:lpwstr>https://workplace/cc/MnSPA/_layouts/15/DocIdRedir.aspx?ID=S2EJPDAADAY4-1521811817-566, S2EJPDAADAY4-1521811817-566</vt:lpwstr>
  </property>
</Properties>
</file>