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tls03\Downloads\"/>
    </mc:Choice>
  </mc:AlternateContent>
  <bookViews>
    <workbookView xWindow="0" yWindow="0" windowWidth="15360" windowHeight="8535"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Prevoc Rate Framework" sheetId="9" r:id="rId8"/>
    <sheet name="Version" sheetId="15" state="hidden" r:id="rId9"/>
  </sheets>
  <definedNames>
    <definedName name="Budget_Neutrality">'Prevoc Rate Framework'!$A$26:$B$27</definedName>
    <definedName name="columntitleregion1.b14.g20.1">'Direct Staffing'!$A$17:$F$19</definedName>
    <definedName name="Customization">'Direct Staffing'!$A$16:$F$19</definedName>
    <definedName name="DirectStaff">'Direct Staffing'!$A$8:$F$10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B5" i="14" l="1"/>
  <c r="C27" i="10"/>
  <c r="C23" i="10"/>
  <c r="F14" i="10" l="1"/>
  <c r="C6" i="10"/>
  <c r="C10" i="10" s="1"/>
  <c r="E10" i="10" s="1"/>
  <c r="F10" i="10" s="1"/>
  <c r="D27" i="10"/>
  <c r="B7" i="16"/>
  <c r="B22" i="9" s="1"/>
  <c r="G27" i="9"/>
  <c r="B5" i="16"/>
  <c r="D23" i="10"/>
  <c r="D18" i="10"/>
  <c r="E18" i="10"/>
  <c r="F18" i="10"/>
  <c r="E14" i="10"/>
  <c r="I7" i="10"/>
  <c r="G28" i="9"/>
  <c r="I16" i="10"/>
  <c r="I15" i="10"/>
  <c r="I14" i="10"/>
  <c r="I13" i="10"/>
  <c r="I12" i="10"/>
  <c r="I11" i="10"/>
  <c r="I10" i="10"/>
  <c r="I9" i="10"/>
  <c r="I8" i="10"/>
  <c r="C9" i="11"/>
  <c r="B13" i="9"/>
  <c r="E8" i="6"/>
  <c r="B19" i="9"/>
  <c r="B7" i="9"/>
  <c r="C19" i="3"/>
  <c r="B10" i="9"/>
  <c r="A5" i="14"/>
  <c r="C5" i="14" l="1"/>
  <c r="B16" i="9" s="1"/>
  <c r="D16" i="9" s="1"/>
  <c r="D31" i="10"/>
  <c r="C34" i="10" s="1"/>
  <c r="B4" i="9" s="1"/>
  <c r="D4" i="9" s="1"/>
  <c r="D7" i="9" l="1"/>
  <c r="D10" i="9" l="1"/>
  <c r="D13" i="9" s="1"/>
  <c r="E19" i="9" l="1"/>
  <c r="D19" i="9" l="1"/>
  <c r="D22" i="9"/>
  <c r="D24" i="9" s="1"/>
  <c r="B24" i="9" s="1"/>
  <c r="G29" i="9" s="1"/>
  <c r="B27" i="9" s="1"/>
  <c r="B30" i="9" s="1"/>
  <c r="B33" i="9" s="1"/>
  <c r="B36" i="9" s="1"/>
  <c r="B39" i="9" s="1"/>
  <c r="B42" i="9" s="1"/>
  <c r="B45" i="9" s="1"/>
  <c r="B48" i="9" s="1"/>
</calcChain>
</file>

<file path=xl/sharedStrings.xml><?xml version="1.0" encoding="utf-8"?>
<sst xmlns="http://schemas.openxmlformats.org/spreadsheetml/2006/main" count="363" uniqueCount="263">
  <si>
    <t>Direct Care Staffing:</t>
  </si>
  <si>
    <t>Staff Type</t>
  </si>
  <si>
    <t>Staffing Ratio</t>
  </si>
  <si>
    <t>Wage</t>
  </si>
  <si>
    <t>Units</t>
  </si>
  <si>
    <t>Total cost</t>
  </si>
  <si>
    <t>Pro-rated cost of staff per Unit</t>
  </si>
  <si>
    <t>Direct Staff</t>
  </si>
  <si>
    <t>Direct Staff Supervision</t>
  </si>
  <si>
    <t>Supervision Percent</t>
  </si>
  <si>
    <t>Supervision Units</t>
  </si>
  <si>
    <t>Total cost per Unit</t>
  </si>
  <si>
    <t>Staffing Customization Options</t>
  </si>
  <si>
    <t>Add-on $</t>
  </si>
  <si>
    <t>Add-on Choice</t>
  </si>
  <si>
    <t>Total  Units</t>
  </si>
  <si>
    <t>Total Cost per Unit</t>
  </si>
  <si>
    <t>Staffing Customization Amount per Unit</t>
  </si>
  <si>
    <t>No Customization</t>
  </si>
  <si>
    <t>Deaf or hard of hearing</t>
  </si>
  <si>
    <t>LPN Units</t>
  </si>
  <si>
    <t>LPN Unit Wage</t>
  </si>
  <si>
    <t>LPN Amount</t>
  </si>
  <si>
    <t>LPN</t>
  </si>
  <si>
    <t>RN Units</t>
  </si>
  <si>
    <t>RN Unit Wage</t>
  </si>
  <si>
    <t>RN Amount</t>
  </si>
  <si>
    <t>RN</t>
  </si>
  <si>
    <t>Percentage of direct care to cover staffing benefits</t>
  </si>
  <si>
    <t>Dollar Amount</t>
  </si>
  <si>
    <t>Percentage for Direct Care Staffing</t>
  </si>
  <si>
    <t>Total Individual Staffing Amount</t>
  </si>
  <si>
    <t xml:space="preserve">Program Plan Support </t>
  </si>
  <si>
    <t>Step 1. Determine components of program plan support</t>
  </si>
  <si>
    <t>Program plan support definition and components included in the program support percentage</t>
  </si>
  <si>
    <t>Documentation</t>
  </si>
  <si>
    <t>Direct staff preparation and service planning</t>
  </si>
  <si>
    <t>Collateral contact related to direct service</t>
  </si>
  <si>
    <t>Total % of program support</t>
  </si>
  <si>
    <t xml:space="preserve">  </t>
  </si>
  <si>
    <t xml:space="preserve">         </t>
  </si>
  <si>
    <t xml:space="preserve">                                                                                                  </t>
  </si>
  <si>
    <t>Employee Related Expense</t>
  </si>
  <si>
    <t>Step 1. Add in standard employment related expense percentage</t>
  </si>
  <si>
    <t>Employee Related Expense Description</t>
  </si>
  <si>
    <t xml:space="preserve">Benefit % </t>
  </si>
  <si>
    <t>Taxes &amp; Workers Comp</t>
  </si>
  <si>
    <t>(including FICA, FUTA, SUTA, Workers Comp, Medicare tax)</t>
  </si>
  <si>
    <t>Other Benefits (could include but not limited to:)</t>
  </si>
  <si>
    <t>Health insurance</t>
  </si>
  <si>
    <t>Dental insurance</t>
  </si>
  <si>
    <t>Vision</t>
  </si>
  <si>
    <t>Life insurance</t>
  </si>
  <si>
    <t>Short-term disability insurance</t>
  </si>
  <si>
    <t>Long-term disability insurance</t>
  </si>
  <si>
    <t>Retirement</t>
  </si>
  <si>
    <t>Tuition reimbursement</t>
  </si>
  <si>
    <t>Wellness program</t>
  </si>
  <si>
    <t>* Total Employee Related Expense Percentage</t>
  </si>
  <si>
    <t>* percentage of direct staffing costs</t>
  </si>
  <si>
    <t>Client Programming and Supports</t>
  </si>
  <si>
    <t>Step 1. Add in standard client programming and supports percentage</t>
  </si>
  <si>
    <t>Benefit Description</t>
  </si>
  <si>
    <t>Standard %</t>
  </si>
  <si>
    <t>Step 2. Total Client Programming and Supports percentage</t>
  </si>
  <si>
    <t>Total Percentage</t>
  </si>
  <si>
    <t>Total %</t>
  </si>
  <si>
    <t>Total Client Programming and Supports percentage</t>
  </si>
  <si>
    <t>Program Facility</t>
  </si>
  <si>
    <t>Step 1: Calculate a flat rate/person based on staffing ratio</t>
  </si>
  <si>
    <t>Rate per person per Unit</t>
  </si>
  <si>
    <t>Unit Facility Cost</t>
  </si>
  <si>
    <t>Program Related Expenses</t>
  </si>
  <si>
    <t>Step 1. Add in standard general and administrative support percentage</t>
  </si>
  <si>
    <t>General and Administrative Support %</t>
  </si>
  <si>
    <t>%</t>
  </si>
  <si>
    <t>Standard G&amp;A</t>
  </si>
  <si>
    <t>Program G&amp;A</t>
  </si>
  <si>
    <t>Utilization Factor</t>
  </si>
  <si>
    <t>Total Program Related Expenses percentage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</si>
  <si>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</si>
  <si>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</si>
  <si>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</si>
  <si>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</si>
  <si>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</si>
  <si>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</si>
  <si>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</si>
  <si>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</si>
  <si>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</si>
  <si>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</si>
  <si>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</si>
  <si>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</si>
  <si>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</si>
  <si>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</si>
  <si>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</si>
  <si>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</si>
  <si>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</si>
  <si>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</si>
  <si>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</si>
  <si>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</si>
  <si>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</si>
  <si>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</si>
  <si>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</si>
  <si>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</si>
  <si>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</si>
  <si>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</si>
  <si>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</si>
  <si>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</si>
  <si>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</si>
  <si>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</si>
  <si>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</si>
  <si>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</si>
  <si>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</si>
  <si>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</si>
  <si>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</si>
  <si>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</si>
  <si>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</si>
  <si>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</si>
  <si>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</si>
  <si>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</si>
  <si>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</si>
  <si>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</si>
  <si>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</si>
  <si>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</si>
  <si>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</si>
  <si>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</si>
  <si>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</si>
  <si>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</si>
  <si>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</si>
  <si>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</si>
  <si>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</si>
  <si>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</si>
  <si>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</si>
  <si>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</si>
  <si>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</si>
  <si>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</si>
  <si>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</si>
  <si>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</si>
  <si>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</si>
  <si>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</si>
  <si>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</si>
  <si>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</si>
  <si>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</si>
  <si>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</si>
  <si>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</si>
  <si>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</si>
  <si>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</si>
  <si>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</si>
  <si>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</si>
  <si>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</si>
  <si>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</si>
  <si>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</si>
  <si>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</si>
  <si>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</si>
  <si>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</si>
  <si>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</si>
  <si>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</si>
  <si>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</si>
  <si>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</si>
  <si>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</si>
  <si>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</si>
  <si>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</si>
  <si>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</si>
  <si>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</si>
  <si>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</si>
  <si>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</si>
  <si>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</si>
  <si>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</si>
  <si>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</si>
  <si>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</si>
  <si>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</si>
  <si>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</si>
  <si>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</si>
  <si>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</si>
  <si>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</si>
  <si>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</si>
  <si>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</si>
  <si>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</si>
  <si>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</si>
  <si>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</si>
  <si>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</si>
  <si>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</si>
  <si>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</si>
  <si>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</si>
  <si>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</si>
  <si>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</si>
  <si>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</si>
  <si>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</si>
  <si>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</si>
  <si>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</si>
  <si>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</si>
  <si>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</si>
  <si>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</si>
  <si>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</si>
  <si>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</si>
  <si>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</si>
  <si>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</si>
  <si>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</si>
  <si>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</si>
  <si>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Direct Staffing</t>
  </si>
  <si>
    <t>Rate Calculation:</t>
  </si>
  <si>
    <t>Total costs for staffing per unit</t>
  </si>
  <si>
    <t>Program Support</t>
  </si>
  <si>
    <t>Program Support standard</t>
  </si>
  <si>
    <t>Employee Related Expenses</t>
  </si>
  <si>
    <t>Total Benefit Percentage</t>
  </si>
  <si>
    <t>Client Programming and Supports Standard</t>
  </si>
  <si>
    <t>Program Facility cost</t>
  </si>
  <si>
    <t>G&amp;A</t>
  </si>
  <si>
    <t>Total G&amp;A Standard</t>
  </si>
  <si>
    <t>Regional Variance</t>
  </si>
  <si>
    <t>Regional Variance Factor</t>
  </si>
  <si>
    <t>Unit Rate</t>
  </si>
  <si>
    <t>Budget Neutrality Factor</t>
  </si>
  <si>
    <t>Unit Budget Neutrality</t>
  </si>
  <si>
    <t>Final Unit Rate</t>
  </si>
  <si>
    <t>Original Total Unit Rate</t>
  </si>
  <si>
    <t>4/1/2014 COLA</t>
  </si>
  <si>
    <t>Cost of Living Adjustment</t>
  </si>
  <si>
    <t>Post 4/1/14 COLA Rate</t>
  </si>
  <si>
    <t>Post COLA Total Unit Rate</t>
  </si>
  <si>
    <t>7/1/2014 COLA</t>
  </si>
  <si>
    <t>Post 7/1/14 COLA Rate</t>
  </si>
  <si>
    <t>7/1/2015 COLA</t>
  </si>
  <si>
    <t>Post 7/1/15 COLA Rate</t>
  </si>
  <si>
    <t>Version 11</t>
  </si>
  <si>
    <t>Direct service staff necessary to support and related to the provision of Prevocational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</si>
  <si>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Prevocational Services to provide in-program transportation for the participant to increase access to the community outside the Prevocational services location                                                                 - State plan or other available waiver services must be accessed first, and those services must be billed separately.
</t>
  </si>
  <si>
    <t>FRAMEWORK FOR PREVOCATIONAL SERVICES</t>
  </si>
  <si>
    <t>Initial version</t>
  </si>
  <si>
    <t>Version 12</t>
  </si>
  <si>
    <t>Initial Version</t>
  </si>
  <si>
    <t>Added Competitive Workforce Factor</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</si>
  <si>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</si>
  <si>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</si>
  <si>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</si>
  <si>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</si>
  <si>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</si>
  <si>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</si>
  <si>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</si>
  <si>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</si>
  <si>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</si>
  <si>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</si>
  <si>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</si>
  <si>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</si>
  <si>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Face to Face 1:2</t>
  </si>
  <si>
    <t>Face to Face 1:1</t>
  </si>
  <si>
    <t>Face to Face 1:8</t>
  </si>
  <si>
    <t>Remote Support 1:1</t>
  </si>
  <si>
    <t>Face to Face1:3</t>
  </si>
  <si>
    <t>Face to Face 1:4</t>
  </si>
  <si>
    <t>Face to Face 1:5</t>
  </si>
  <si>
    <t>Face to Face 1:6</t>
  </si>
  <si>
    <t>Face to Face 1:7</t>
  </si>
  <si>
    <t>Face to Face 1:9</t>
  </si>
  <si>
    <t>Face to Face 1:10</t>
  </si>
  <si>
    <t>Version 13</t>
  </si>
  <si>
    <t>Added Remote 1:1 options</t>
  </si>
  <si>
    <t>Version 14</t>
  </si>
  <si>
    <t>New value for direct care staff wage,
supervisor wage,
RN wage,
LPN wage,
client programming and support component,
program facility component</t>
  </si>
  <si>
    <t>Version 15</t>
  </si>
  <si>
    <t>Updated RVF</t>
  </si>
  <si>
    <t>Version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</si>
</sst>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s>
  <fonts count="11" x14ac:knownFonts="1">
    <font>
      <sz val="10"/>
      <name val="Arial"/>
    </font>
    <font>
      <sz val="10"/>
      <name val="Arial"/>
      <family val="2"/>
    </font>
    <font>
      <sz val="8"/>
      <name val="Arial"/>
      <family val="2"/>
    </font>
    <font>
      <b/>
      <sz val="10"/>
      <name val="Arial"/>
      <family val="2"/>
    </font>
    <font>
      <b/>
      <i/>
      <sz val="12"/>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0"/>
      <name val="Arial"/>
      <family val="2"/>
    </font>
    <font>
      <sz val="10"/>
      <color theme="1"/>
      <name val="Arial"/>
      <family val="2"/>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92">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0" fillId="2" borderId="6"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7" xfId="0" applyFill="1" applyBorder="1" applyAlignment="1">
      <alignment wrapText="1"/>
    </xf>
    <xf numFmtId="0" fontId="5" fillId="2" borderId="0" xfId="0" applyFont="1" applyFill="1"/>
    <xf numFmtId="0" fontId="4" fillId="4" borderId="0" xfId="0" applyFont="1" applyFill="1"/>
    <xf numFmtId="0" fontId="0" fillId="4" borderId="0" xfId="0" applyFill="1"/>
    <xf numFmtId="0" fontId="5" fillId="4" borderId="0" xfId="0" applyFont="1" applyFill="1"/>
    <xf numFmtId="0" fontId="3" fillId="4" borderId="0" xfId="0" applyFont="1" applyFill="1"/>
    <xf numFmtId="0" fontId="0" fillId="4" borderId="1" xfId="0"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0" fontId="1" fillId="3" borderId="8" xfId="0" applyFont="1" applyFill="1" applyBorder="1" applyAlignment="1"/>
    <xf numFmtId="0" fontId="1" fillId="2" borderId="8"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9" xfId="0" applyFont="1" applyFill="1" applyBorder="1" applyAlignment="1">
      <alignment horizontal="right" wrapText="1"/>
    </xf>
    <xf numFmtId="0" fontId="1" fillId="4" borderId="8" xfId="0" applyFont="1" applyFill="1" applyBorder="1" applyAlignment="1"/>
    <xf numFmtId="0" fontId="1" fillId="2" borderId="0" xfId="0" applyFont="1" applyFill="1"/>
    <xf numFmtId="0" fontId="1" fillId="3" borderId="1" xfId="0" applyFont="1" applyFill="1" applyBorder="1" applyAlignment="1">
      <alignment horizontal="left" wrapText="1"/>
    </xf>
    <xf numFmtId="0" fontId="1" fillId="2" borderId="8" xfId="0" applyFont="1" applyFill="1" applyBorder="1" applyAlignment="1">
      <alignment horizontal="left"/>
    </xf>
    <xf numFmtId="0" fontId="1" fillId="6" borderId="1" xfId="0" applyFont="1" applyFill="1" applyBorder="1" applyAlignment="1" applyProtection="1">
      <alignment horizontal="left"/>
      <protection locked="0"/>
    </xf>
    <xf numFmtId="0" fontId="1" fillId="3" borderId="10" xfId="0" applyFont="1" applyFill="1" applyBorder="1" applyAlignment="1"/>
    <xf numFmtId="0" fontId="1" fillId="2" borderId="10" xfId="0" applyFont="1" applyFill="1" applyBorder="1" applyAlignment="1"/>
    <xf numFmtId="0" fontId="1" fillId="2" borderId="0" xfId="0" applyFont="1" applyFill="1" applyBorder="1" applyAlignment="1">
      <alignment horizontal="left"/>
    </xf>
    <xf numFmtId="44" fontId="1" fillId="5" borderId="1" xfId="2" applyFont="1" applyFill="1" applyBorder="1" applyAlignment="1">
      <alignment horizontal="right"/>
    </xf>
    <xf numFmtId="0" fontId="1" fillId="3" borderId="1" xfId="0" applyFont="1" applyFill="1" applyBorder="1"/>
    <xf numFmtId="10" fontId="1" fillId="2" borderId="8"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4" fillId="2" borderId="0" xfId="0" applyFont="1" applyFill="1" applyAlignment="1"/>
    <xf numFmtId="0" fontId="3" fillId="2" borderId="0" xfId="0" applyFont="1" applyFill="1" applyAlignment="1"/>
    <xf numFmtId="0" fontId="1" fillId="4" borderId="0" xfId="0" applyFont="1" applyFill="1" applyBorder="1"/>
    <xf numFmtId="0" fontId="0" fillId="0" borderId="0" xfId="0" applyAlignment="1">
      <alignment wrapText="1"/>
    </xf>
    <xf numFmtId="0" fontId="6" fillId="8" borderId="26" xfId="0" applyFont="1" applyFill="1" applyBorder="1" applyAlignment="1">
      <alignment vertical="center"/>
    </xf>
    <xf numFmtId="0" fontId="7" fillId="0" borderId="26" xfId="0" applyFont="1" applyBorder="1" applyAlignment="1">
      <alignment vertical="center"/>
    </xf>
    <xf numFmtId="0" fontId="0" fillId="0" borderId="26" xfId="0" applyFont="1" applyBorder="1" applyAlignment="1">
      <alignment vertical="top"/>
    </xf>
    <xf numFmtId="0" fontId="0" fillId="0" borderId="0" xfId="0" applyAlignment="1">
      <alignment horizontal="left"/>
    </xf>
    <xf numFmtId="0" fontId="6" fillId="8" borderId="26" xfId="0" applyFont="1" applyFill="1" applyBorder="1" applyAlignment="1">
      <alignment horizontal="left" vertical="center"/>
    </xf>
    <xf numFmtId="0" fontId="7" fillId="5" borderId="26" xfId="0" applyFont="1" applyFill="1" applyBorder="1" applyAlignment="1">
      <alignment vertical="center"/>
    </xf>
    <xf numFmtId="0" fontId="7" fillId="5" borderId="26" xfId="0" quotePrefix="1" applyFont="1" applyFill="1" applyBorder="1" applyAlignment="1">
      <alignment horizontal="left" vertical="center"/>
    </xf>
    <xf numFmtId="0" fontId="3" fillId="4" borderId="0" xfId="0" applyFont="1" applyFill="1" applyBorder="1"/>
    <xf numFmtId="0" fontId="1" fillId="4" borderId="0" xfId="0" applyFont="1" applyFill="1"/>
    <xf numFmtId="0" fontId="8" fillId="4" borderId="0" xfId="0" applyFont="1" applyFill="1"/>
    <xf numFmtId="44" fontId="0" fillId="9" borderId="0" xfId="0" applyNumberFormat="1" applyFill="1" applyBorder="1"/>
    <xf numFmtId="0" fontId="9" fillId="2" borderId="0" xfId="0" applyFont="1" applyFill="1"/>
    <xf numFmtId="0" fontId="9" fillId="4" borderId="0" xfId="0" applyFont="1" applyFill="1"/>
    <xf numFmtId="0" fontId="10" fillId="2" borderId="0" xfId="0" applyFont="1" applyFill="1"/>
    <xf numFmtId="44" fontId="9" fillId="4" borderId="0" xfId="0" applyNumberFormat="1" applyFont="1" applyFill="1"/>
    <xf numFmtId="44" fontId="9" fillId="4" borderId="0" xfId="2" applyFont="1" applyFill="1"/>
    <xf numFmtId="165" fontId="9" fillId="4" borderId="0" xfId="0" applyNumberFormat="1" applyFont="1" applyFill="1"/>
    <xf numFmtId="10" fontId="9" fillId="4" borderId="0" xfId="0" applyNumberFormat="1" applyFont="1" applyFill="1"/>
    <xf numFmtId="44" fontId="9" fillId="9" borderId="0" xfId="2" applyFont="1" applyFill="1"/>
    <xf numFmtId="44" fontId="8" fillId="9" borderId="0" xfId="0" applyNumberFormat="1" applyFont="1" applyFill="1"/>
    <xf numFmtId="44" fontId="1" fillId="0" borderId="1" xfId="2" applyNumberFormat="1" applyFont="1" applyFill="1" applyBorder="1"/>
    <xf numFmtId="44" fontId="0" fillId="2" borderId="1" xfId="2" quotePrefix="1" applyNumberFormat="1" applyFont="1" applyFill="1" applyBorder="1"/>
    <xf numFmtId="44" fontId="1" fillId="6" borderId="5" xfId="2" applyFont="1" applyFill="1" applyBorder="1" applyAlignment="1" applyProtection="1">
      <alignment vertical="top"/>
      <protection locked="0"/>
    </xf>
    <xf numFmtId="44" fontId="1" fillId="6" borderId="11" xfId="2" applyFont="1" applyFill="1" applyBorder="1" applyAlignment="1" applyProtection="1">
      <alignment vertical="top"/>
    </xf>
    <xf numFmtId="44" fontId="9" fillId="2" borderId="0" xfId="2" applyFont="1" applyFill="1"/>
    <xf numFmtId="0" fontId="7" fillId="0" borderId="27" xfId="0" applyFont="1" applyBorder="1" applyAlignment="1">
      <alignment vertical="center"/>
    </xf>
    <xf numFmtId="0" fontId="0" fillId="0" borderId="27" xfId="0" applyFont="1" applyBorder="1" applyAlignment="1">
      <alignment vertical="top"/>
    </xf>
    <xf numFmtId="0" fontId="0" fillId="5" borderId="1" xfId="0" applyFill="1" applyBorder="1"/>
    <xf numFmtId="0" fontId="3" fillId="4" borderId="0" xfId="0" applyFont="1" applyFill="1" applyProtection="1">
      <protection hidden="1"/>
    </xf>
    <xf numFmtId="0" fontId="9" fillId="4" borderId="0" xfId="0" applyFont="1" applyFill="1" applyProtection="1">
      <protection hidden="1"/>
    </xf>
    <xf numFmtId="0" fontId="8"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9" fillId="4" borderId="0" xfId="0" applyNumberFormat="1" applyFont="1" applyFill="1" applyProtection="1">
      <protection hidden="1"/>
    </xf>
    <xf numFmtId="165" fontId="8"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9" fillId="4" borderId="0" xfId="2" applyFont="1" applyFill="1" applyProtection="1">
      <protection hidden="1"/>
    </xf>
    <xf numFmtId="0" fontId="9"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0" fontId="1" fillId="0" borderId="0" xfId="0" applyFont="1" applyProtection="1">
      <protection hidden="1"/>
    </xf>
    <xf numFmtId="0" fontId="1" fillId="3" borderId="8" xfId="0" applyFont="1" applyFill="1" applyBorder="1" applyAlignment="1">
      <alignment horizontal="left"/>
    </xf>
    <xf numFmtId="0" fontId="1" fillId="2" borderId="8" xfId="0" applyFont="1" applyFill="1" applyBorder="1" applyAlignment="1">
      <alignment vertical="top" wrapText="1"/>
    </xf>
    <xf numFmtId="0" fontId="1" fillId="2" borderId="1" xfId="0" applyFont="1" applyFill="1" applyBorder="1" applyAlignment="1">
      <alignment vertical="top" wrapText="1"/>
    </xf>
    <xf numFmtId="44" fontId="1" fillId="4" borderId="1" xfId="2" applyFont="1" applyFill="1" applyBorder="1"/>
    <xf numFmtId="165" fontId="1" fillId="4" borderId="1" xfId="2" applyNumberFormat="1" applyFont="1" applyFill="1" applyBorder="1" applyAlignment="1">
      <alignment vertical="top"/>
    </xf>
    <xf numFmtId="10" fontId="1" fillId="4" borderId="1" xfId="0" applyNumberFormat="1" applyFont="1" applyFill="1" applyBorder="1"/>
    <xf numFmtId="10" fontId="1" fillId="4" borderId="1" xfId="5" applyNumberFormat="1" applyFont="1" applyFill="1" applyBorder="1" applyAlignment="1">
      <alignment vertical="top"/>
    </xf>
    <xf numFmtId="0" fontId="1" fillId="4" borderId="0" xfId="0" applyFont="1" applyFill="1" applyBorder="1" applyAlignment="1"/>
    <xf numFmtId="10" fontId="1" fillId="4" borderId="0" xfId="5" applyNumberFormat="1" applyFont="1" applyFill="1" applyBorder="1" applyAlignment="1">
      <alignment vertical="top"/>
    </xf>
    <xf numFmtId="165" fontId="1" fillId="0" borderId="0" xfId="5" applyNumberFormat="1" applyFont="1" applyFill="1" applyProtection="1"/>
    <xf numFmtId="10" fontId="1" fillId="9" borderId="1" xfId="5" applyNumberFormat="1" applyFont="1" applyFill="1" applyBorder="1"/>
    <xf numFmtId="44" fontId="1" fillId="4" borderId="0" xfId="2" applyFont="1" applyFill="1" applyBorder="1"/>
    <xf numFmtId="165" fontId="1" fillId="0" borderId="0" xfId="5" applyNumberFormat="1" applyFont="1" applyFill="1" applyProtection="1">
      <protection hidden="1"/>
    </xf>
    <xf numFmtId="14" fontId="0" fillId="0" borderId="0" xfId="0" applyNumberFormat="1"/>
    <xf numFmtId="0" fontId="1" fillId="0" borderId="0" xfId="0" applyFont="1" applyAlignment="1">
      <alignment wrapText="1"/>
    </xf>
    <xf numFmtId="0" fontId="1" fillId="0" borderId="0" xfId="0" applyFont="1"/>
    <xf numFmtId="0" fontId="3" fillId="2" borderId="0" xfId="4" applyFont="1" applyFill="1"/>
    <xf numFmtId="10" fontId="1" fillId="2" borderId="1" xfId="5" applyNumberFormat="1" applyFont="1" applyFill="1" applyBorder="1"/>
    <xf numFmtId="0" fontId="1" fillId="3" borderId="0" xfId="0" quotePrefix="1" applyNumberFormat="1" applyFont="1" applyFill="1" applyBorder="1" applyAlignment="1">
      <alignment horizontal="right"/>
    </xf>
    <xf numFmtId="0" fontId="1" fillId="2" borderId="0" xfId="0" quotePrefix="1" applyNumberFormat="1" applyFont="1" applyFill="1" applyBorder="1" applyAlignment="1">
      <alignment horizontal="right"/>
    </xf>
    <xf numFmtId="20" fontId="1" fillId="3" borderId="12" xfId="0" quotePrefix="1" applyNumberFormat="1" applyFont="1" applyFill="1" applyBorder="1" applyAlignment="1">
      <alignment horizontal="right"/>
    </xf>
    <xf numFmtId="0" fontId="1" fillId="3" borderId="13" xfId="0" quotePrefix="1" applyNumberFormat="1" applyFont="1" applyFill="1" applyBorder="1" applyAlignment="1">
      <alignment horizontal="right"/>
    </xf>
    <xf numFmtId="0" fontId="1" fillId="3" borderId="14" xfId="0" applyFont="1" applyFill="1" applyBorder="1" applyAlignment="1">
      <alignment horizontal="right" indent="1"/>
    </xf>
    <xf numFmtId="2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2" borderId="15" xfId="0" quotePrefix="1" applyNumberFormat="1" applyFont="1" applyFill="1" applyBorder="1" applyAlignment="1">
      <alignment horizontal="right"/>
    </xf>
    <xf numFmtId="0" fontId="1" fillId="2" borderId="16" xfId="0" applyFont="1" applyFill="1" applyBorder="1" applyAlignment="1">
      <alignment horizontal="right" indent="1"/>
    </xf>
    <xf numFmtId="0" fontId="1" fillId="2" borderId="15" xfId="0" quotePrefix="1" applyFont="1" applyFill="1" applyBorder="1" applyAlignment="1">
      <alignment horizontal="right"/>
    </xf>
    <xf numFmtId="0" fontId="1" fillId="2" borderId="17" xfId="0" applyFont="1" applyFill="1" applyBorder="1"/>
    <xf numFmtId="0" fontId="1" fillId="2" borderId="18" xfId="0" applyFont="1" applyFill="1" applyBorder="1"/>
    <xf numFmtId="0" fontId="1" fillId="2" borderId="19" xfId="0" applyFont="1" applyFill="1" applyBorder="1"/>
    <xf numFmtId="20" fontId="0" fillId="2" borderId="1" xfId="0" quotePrefix="1" applyNumberFormat="1" applyFill="1" applyBorder="1" applyAlignment="1">
      <alignment horizontal="center" wrapText="1"/>
    </xf>
    <xf numFmtId="44" fontId="1" fillId="0" borderId="1" xfId="2" applyFont="1" applyFill="1" applyBorder="1" applyAlignment="1" applyProtection="1">
      <alignment horizontal="right" vertical="top"/>
    </xf>
    <xf numFmtId="44" fontId="1" fillId="0" borderId="1" xfId="3" applyNumberFormat="1" applyFont="1" applyFill="1" applyBorder="1"/>
    <xf numFmtId="10" fontId="0" fillId="0" borderId="1" xfId="5" applyNumberFormat="1" applyFont="1" applyFill="1" applyBorder="1" applyAlignment="1">
      <alignment horizontal="right" vertical="top"/>
    </xf>
    <xf numFmtId="44" fontId="0" fillId="0" borderId="1" xfId="2" applyFont="1" applyFill="1" applyBorder="1" applyAlignment="1">
      <alignment vertical="top"/>
    </xf>
    <xf numFmtId="165" fontId="0" fillId="0" borderId="1" xfId="0" applyNumberFormat="1" applyFill="1" applyBorder="1"/>
    <xf numFmtId="44" fontId="0" fillId="0" borderId="1" xfId="0" applyNumberFormat="1" applyFill="1" applyBorder="1"/>
    <xf numFmtId="166" fontId="0" fillId="10" borderId="26" xfId="0" applyNumberFormat="1" applyFill="1" applyBorder="1"/>
    <xf numFmtId="166" fontId="0" fillId="10" borderId="27" xfId="0" applyNumberFormat="1" applyFill="1" applyBorder="1"/>
    <xf numFmtId="166" fontId="0" fillId="10" borderId="1" xfId="0" applyNumberFormat="1" applyFill="1" applyBorder="1"/>
    <xf numFmtId="0" fontId="0" fillId="10" borderId="1" xfId="0" applyFill="1" applyBorder="1"/>
    <xf numFmtId="0" fontId="1" fillId="5" borderId="8" xfId="4" applyFont="1" applyFill="1" applyBorder="1" applyAlignment="1">
      <alignment horizontal="left"/>
    </xf>
    <xf numFmtId="0" fontId="1" fillId="5" borderId="20"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1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8" xfId="5" applyFont="1" applyFill="1" applyBorder="1" applyAlignment="1">
      <alignment horizontal="left"/>
    </xf>
    <xf numFmtId="9" fontId="1" fillId="2" borderId="10" xfId="5" applyFont="1" applyFill="1" applyBorder="1" applyAlignment="1">
      <alignment horizontal="left"/>
    </xf>
    <xf numFmtId="0" fontId="1" fillId="3" borderId="8" xfId="0" applyFont="1" applyFill="1" applyBorder="1" applyAlignment="1">
      <alignment horizontal="left"/>
    </xf>
    <xf numFmtId="0" fontId="1" fillId="3" borderId="20" xfId="0" applyFont="1" applyFill="1" applyBorder="1" applyAlignment="1">
      <alignment horizontal="left"/>
    </xf>
    <xf numFmtId="0" fontId="0" fillId="3" borderId="8" xfId="0" applyFill="1" applyBorder="1" applyAlignment="1">
      <alignment horizontal="left" wrapText="1"/>
    </xf>
    <xf numFmtId="0" fontId="0" fillId="3" borderId="10" xfId="0" applyFill="1" applyBorder="1" applyAlignment="1">
      <alignment horizontal="left" wrapText="1"/>
    </xf>
    <xf numFmtId="0" fontId="0" fillId="3" borderId="20" xfId="0" applyFill="1" applyBorder="1" applyAlignment="1">
      <alignment horizontal="left" wrapText="1"/>
    </xf>
    <xf numFmtId="0" fontId="3" fillId="2" borderId="8" xfId="0" applyFont="1" applyFill="1" applyBorder="1" applyAlignment="1">
      <alignment horizontal="left"/>
    </xf>
    <xf numFmtId="0" fontId="3" fillId="2" borderId="20" xfId="0" applyFont="1" applyFill="1" applyBorder="1" applyAlignment="1">
      <alignment horizontal="left"/>
    </xf>
    <xf numFmtId="0" fontId="1" fillId="2" borderId="21" xfId="0" applyFont="1" applyFill="1" applyBorder="1" applyAlignment="1">
      <alignment horizontal="left" wrapText="1"/>
    </xf>
    <xf numFmtId="0" fontId="0" fillId="2" borderId="22" xfId="0" applyFill="1" applyBorder="1" applyAlignment="1">
      <alignment horizontal="left" wrapText="1"/>
    </xf>
    <xf numFmtId="0" fontId="0" fillId="2" borderId="23" xfId="0" applyFill="1" applyBorder="1" applyAlignment="1">
      <alignment horizontal="left" wrapText="1"/>
    </xf>
    <xf numFmtId="0" fontId="0" fillId="2" borderId="21" xfId="0" applyFill="1" applyBorder="1" applyAlignment="1">
      <alignment horizontal="left"/>
    </xf>
    <xf numFmtId="0" fontId="0" fillId="2" borderId="22" xfId="0" applyFill="1" applyBorder="1" applyAlignment="1">
      <alignment horizontal="left"/>
    </xf>
    <xf numFmtId="10" fontId="0" fillId="2" borderId="6"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11" xfId="5" applyNumberFormat="1" applyFont="1" applyFill="1" applyBorder="1" applyAlignment="1">
      <alignment horizontal="right" vertical="top"/>
    </xf>
    <xf numFmtId="0" fontId="0" fillId="3" borderId="8" xfId="0" applyFill="1" applyBorder="1" applyAlignment="1">
      <alignment horizontal="left"/>
    </xf>
    <xf numFmtId="0" fontId="0" fillId="3" borderId="20" xfId="0" applyFill="1" applyBorder="1" applyAlignment="1">
      <alignment horizontal="left"/>
    </xf>
    <xf numFmtId="0" fontId="0" fillId="2" borderId="24" xfId="0" applyFill="1" applyBorder="1" applyAlignment="1">
      <alignment horizontal="left" vertical="top" wrapText="1"/>
    </xf>
    <xf numFmtId="0" fontId="0" fillId="2" borderId="25" xfId="0" applyFill="1" applyBorder="1" applyAlignment="1">
      <alignment horizontal="left" vertical="top" wrapText="1"/>
    </xf>
    <xf numFmtId="0" fontId="0" fillId="2" borderId="8" xfId="0" applyFill="1" applyBorder="1" applyAlignment="1">
      <alignment horizontal="left" wrapText="1"/>
    </xf>
    <xf numFmtId="0" fontId="0" fillId="0" borderId="20" xfId="0" applyBorder="1" applyAlignment="1"/>
    <xf numFmtId="0" fontId="1" fillId="2" borderId="8" xfId="0" applyFont="1" applyFill="1" applyBorder="1" applyAlignment="1">
      <alignment horizontal="left" wrapText="1"/>
    </xf>
    <xf numFmtId="0" fontId="0" fillId="2" borderId="8" xfId="0" applyFill="1" applyBorder="1" applyAlignment="1">
      <alignment horizontal="left"/>
    </xf>
    <xf numFmtId="0" fontId="0" fillId="2" borderId="10" xfId="0" applyFill="1" applyBorder="1" applyAlignment="1">
      <alignment horizontal="left"/>
    </xf>
    <xf numFmtId="0" fontId="0" fillId="2" borderId="20"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8" xfId="0" applyFont="1" applyFill="1" applyBorder="1" applyAlignment="1" applyProtection="1">
      <alignment horizontal="center"/>
      <protection locked="0"/>
    </xf>
    <xf numFmtId="0" fontId="1" fillId="6" borderId="10" xfId="0" applyFont="1" applyFill="1" applyBorder="1" applyAlignment="1" applyProtection="1">
      <alignment horizontal="center"/>
      <protection locked="0"/>
    </xf>
    <xf numFmtId="0" fontId="1" fillId="6" borderId="20" xfId="0" applyFont="1" applyFill="1" applyBorder="1" applyAlignment="1" applyProtection="1">
      <alignment horizontal="center"/>
      <protection locked="0"/>
    </xf>
    <xf numFmtId="0" fontId="1" fillId="5" borderId="8" xfId="0" applyFont="1" applyFill="1" applyBorder="1" applyAlignment="1">
      <alignment horizontal="center"/>
    </xf>
    <xf numFmtId="0" fontId="1" fillId="5" borderId="10" xfId="0" applyFont="1" applyFill="1" applyBorder="1" applyAlignment="1">
      <alignment horizontal="center"/>
    </xf>
    <xf numFmtId="0" fontId="1" fillId="5" borderId="20"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election activeCell="B10" sqref="B10"/>
    </sheetView>
  </sheetViews>
  <sheetFormatPr defaultColWidth="9.140625" defaultRowHeight="12.75" x14ac:dyDescent="0.2"/>
  <cols>
    <col min="1" max="1" width="30.5703125" style="44" customWidth="1"/>
    <col min="2" max="2" width="18.28515625" style="55" customWidth="1"/>
    <col min="3" max="3" width="14.140625" style="55" customWidth="1"/>
    <col min="4" max="4" width="14.7109375" style="56" customWidth="1"/>
    <col min="5" max="5" width="17.42578125" style="56" customWidth="1"/>
    <col min="6" max="6" width="16.140625" style="55" customWidth="1"/>
    <col min="7" max="7" width="9.28515625" style="44" customWidth="1"/>
    <col min="8" max="8" width="15.42578125" style="44" hidden="1" customWidth="1"/>
    <col min="9" max="11" width="9.140625" style="44" hidden="1" customWidth="1"/>
    <col min="12" max="13" width="9.140625" style="44" customWidth="1"/>
    <col min="14" max="16384" width="9.140625" style="44"/>
  </cols>
  <sheetData>
    <row r="1" spans="1:11" ht="15" customHeight="1" x14ac:dyDescent="0.2">
      <c r="A1" s="59" t="s">
        <v>0</v>
      </c>
      <c r="B1" s="44"/>
      <c r="C1" s="44"/>
      <c r="D1" s="44"/>
      <c r="E1" s="44"/>
      <c r="F1" s="44"/>
    </row>
    <row r="2" spans="1:11" ht="15" customHeight="1" x14ac:dyDescent="0.2">
      <c r="A2" s="60"/>
      <c r="B2" s="44"/>
      <c r="C2" s="44"/>
      <c r="D2" s="44"/>
      <c r="E2" s="44"/>
      <c r="F2" s="44"/>
    </row>
    <row r="3" spans="1:11" ht="15" customHeight="1" x14ac:dyDescent="0.2">
      <c r="A3" s="124" t="s">
        <v>233</v>
      </c>
      <c r="B3" s="124"/>
      <c r="C3" s="124"/>
      <c r="D3" s="44"/>
      <c r="E3" s="44"/>
      <c r="F3" s="44"/>
    </row>
    <row r="4" spans="1:11" ht="15" customHeight="1" x14ac:dyDescent="0.2">
      <c r="A4" s="150" t="s">
        <v>234</v>
      </c>
      <c r="B4" s="151"/>
      <c r="C4" s="140">
        <v>17.22</v>
      </c>
      <c r="D4" s="44"/>
      <c r="E4" s="44"/>
      <c r="F4" s="44"/>
    </row>
    <row r="5" spans="1:11" ht="15" customHeight="1" x14ac:dyDescent="0.2">
      <c r="A5" s="150" t="s">
        <v>235</v>
      </c>
      <c r="B5" s="151"/>
      <c r="C5" s="125">
        <v>4.7E-2</v>
      </c>
      <c r="D5" s="44"/>
      <c r="E5" s="44"/>
      <c r="F5" s="44"/>
    </row>
    <row r="6" spans="1:11" ht="15" customHeight="1" thickBot="1" x14ac:dyDescent="0.25">
      <c r="A6" s="150" t="s">
        <v>236</v>
      </c>
      <c r="B6" s="151"/>
      <c r="C6" s="141">
        <f>ROUND(C4*C5+C4,2)</f>
        <v>18.03</v>
      </c>
      <c r="D6" s="44"/>
      <c r="E6" s="44"/>
      <c r="F6" s="44"/>
    </row>
    <row r="7" spans="1:11" ht="15" customHeight="1" x14ac:dyDescent="0.2">
      <c r="B7" s="44"/>
      <c r="C7" s="44"/>
      <c r="D7" s="44"/>
      <c r="E7" s="44"/>
      <c r="F7" s="44"/>
      <c r="H7" s="128" t="s">
        <v>246</v>
      </c>
      <c r="I7" s="129">
        <f>1/1</f>
        <v>1</v>
      </c>
      <c r="J7" s="129">
        <v>1</v>
      </c>
      <c r="K7" s="130">
        <v>1</v>
      </c>
    </row>
    <row r="8" spans="1:11" ht="15" customHeight="1" x14ac:dyDescent="0.2">
      <c r="A8" s="5" t="s">
        <v>238</v>
      </c>
      <c r="B8" s="44"/>
      <c r="C8" s="44"/>
      <c r="D8" s="44"/>
      <c r="E8" s="44"/>
      <c r="F8" s="44"/>
      <c r="H8" s="131" t="s">
        <v>245</v>
      </c>
      <c r="I8" s="126">
        <f>1/0.548</f>
        <v>1.824817518248175</v>
      </c>
      <c r="J8" s="126">
        <v>2</v>
      </c>
      <c r="K8" s="132">
        <v>0.54800000000000004</v>
      </c>
    </row>
    <row r="9" spans="1:11" ht="25.5" x14ac:dyDescent="0.2">
      <c r="A9" s="108" t="s">
        <v>1</v>
      </c>
      <c r="B9" s="45" t="s">
        <v>2</v>
      </c>
      <c r="C9" s="40" t="s">
        <v>237</v>
      </c>
      <c r="D9" s="20" t="s">
        <v>4</v>
      </c>
      <c r="E9" s="40" t="s">
        <v>5</v>
      </c>
      <c r="F9" s="41" t="s">
        <v>6</v>
      </c>
      <c r="H9" s="131" t="s">
        <v>249</v>
      </c>
      <c r="I9" s="126">
        <f>1/0.397</f>
        <v>2.5188916876574305</v>
      </c>
      <c r="J9" s="126">
        <v>3</v>
      </c>
      <c r="K9" s="132">
        <v>0.39700000000000002</v>
      </c>
    </row>
    <row r="10" spans="1:11" ht="15" customHeight="1" x14ac:dyDescent="0.2">
      <c r="A10" s="46" t="s">
        <v>7</v>
      </c>
      <c r="B10" s="47" t="s">
        <v>255</v>
      </c>
      <c r="C10" s="16">
        <f>C6</f>
        <v>18.03</v>
      </c>
      <c r="D10" s="36">
        <v>1</v>
      </c>
      <c r="E10" s="16">
        <f>ROUND(C10/4,4)</f>
        <v>4.5075000000000003</v>
      </c>
      <c r="F10" s="83">
        <f>ROUND(E10/(VLOOKUP(B10,H7:K17,2,FALSE)),4)</f>
        <v>0.83840000000000003</v>
      </c>
      <c r="H10" s="133" t="s">
        <v>250</v>
      </c>
      <c r="I10" s="127">
        <f>1/0.321</f>
        <v>3.1152647975077881</v>
      </c>
      <c r="J10" s="127">
        <v>4</v>
      </c>
      <c r="K10" s="134">
        <v>0.32100000000000001</v>
      </c>
    </row>
    <row r="11" spans="1:11" ht="15" customHeight="1" x14ac:dyDescent="0.2">
      <c r="B11" s="44"/>
      <c r="C11" s="44"/>
      <c r="D11" s="44"/>
      <c r="E11" s="44"/>
      <c r="F11" s="44"/>
      <c r="H11" s="133" t="s">
        <v>251</v>
      </c>
      <c r="I11" s="127">
        <f>1/0.276</f>
        <v>3.6231884057971011</v>
      </c>
      <c r="J11" s="127">
        <v>5</v>
      </c>
      <c r="K11" s="134">
        <v>0.27600000000000002</v>
      </c>
    </row>
    <row r="12" spans="1:11" ht="15" customHeight="1" x14ac:dyDescent="0.2">
      <c r="A12" s="5" t="s">
        <v>239</v>
      </c>
      <c r="B12" s="44"/>
      <c r="C12" s="44"/>
      <c r="D12" s="44"/>
      <c r="E12" s="44"/>
      <c r="F12" s="44"/>
      <c r="H12" s="133" t="s">
        <v>252</v>
      </c>
      <c r="I12" s="127">
        <f>1/0.246</f>
        <v>4.0650406504065044</v>
      </c>
      <c r="J12" s="127">
        <v>6</v>
      </c>
      <c r="K12" s="134">
        <v>0.246</v>
      </c>
    </row>
    <row r="13" spans="1:11" ht="25.5" x14ac:dyDescent="0.2">
      <c r="A13" s="34" t="s">
        <v>8</v>
      </c>
      <c r="B13" s="48"/>
      <c r="C13" s="21" t="s">
        <v>3</v>
      </c>
      <c r="D13" s="4" t="s">
        <v>9</v>
      </c>
      <c r="E13" s="4" t="s">
        <v>10</v>
      </c>
      <c r="F13" s="4" t="s">
        <v>11</v>
      </c>
      <c r="H13" s="133" t="s">
        <v>253</v>
      </c>
      <c r="I13" s="127">
        <f>1/0.224</f>
        <v>4.4642857142857144</v>
      </c>
      <c r="J13" s="127">
        <v>7</v>
      </c>
      <c r="K13" s="134">
        <v>0.224</v>
      </c>
    </row>
    <row r="14" spans="1:11" ht="15" customHeight="1" x14ac:dyDescent="0.2">
      <c r="A14" s="35" t="s">
        <v>8</v>
      </c>
      <c r="B14" s="49"/>
      <c r="C14" s="15">
        <v>21.13</v>
      </c>
      <c r="D14" s="38">
        <v>0.11</v>
      </c>
      <c r="E14" s="36">
        <f>ROUND(D10*D14,9)</f>
        <v>0.11</v>
      </c>
      <c r="F14" s="15">
        <f>((C14/4)*E14)/VLOOKUP(B10,H7:K17,2,FALSE)</f>
        <v>0.10807995000000001</v>
      </c>
      <c r="H14" s="135" t="s">
        <v>247</v>
      </c>
      <c r="I14" s="127">
        <f>1/0.208</f>
        <v>4.8076923076923075</v>
      </c>
      <c r="J14" s="127">
        <v>8</v>
      </c>
      <c r="K14" s="134">
        <v>0.20799999999999999</v>
      </c>
    </row>
    <row r="15" spans="1:11" x14ac:dyDescent="0.2">
      <c r="B15" s="44"/>
      <c r="C15" s="44"/>
      <c r="D15" s="44"/>
      <c r="E15" s="44"/>
      <c r="F15" s="44"/>
      <c r="H15" s="135" t="s">
        <v>254</v>
      </c>
      <c r="I15" s="127">
        <f>1/0.196</f>
        <v>5.1020408163265305</v>
      </c>
      <c r="J15" s="127">
        <v>9</v>
      </c>
      <c r="K15" s="134">
        <v>0.19600000000000001</v>
      </c>
    </row>
    <row r="16" spans="1:11" x14ac:dyDescent="0.2">
      <c r="A16" s="8" t="s">
        <v>240</v>
      </c>
      <c r="B16" s="50"/>
      <c r="C16" s="6"/>
      <c r="D16" s="7"/>
      <c r="E16" s="7"/>
      <c r="F16" s="6"/>
      <c r="H16" s="135" t="s">
        <v>255</v>
      </c>
      <c r="I16" s="127">
        <f>1/0.186</f>
        <v>5.376344086021505</v>
      </c>
      <c r="J16" s="127">
        <v>10</v>
      </c>
      <c r="K16" s="134">
        <v>0.186</v>
      </c>
    </row>
    <row r="17" spans="1:11" ht="39" thickBot="1" x14ac:dyDescent="0.25">
      <c r="A17" s="13" t="s">
        <v>12</v>
      </c>
      <c r="B17" s="3" t="s">
        <v>13</v>
      </c>
      <c r="C17" s="4" t="s">
        <v>14</v>
      </c>
      <c r="D17" s="4" t="s">
        <v>15</v>
      </c>
      <c r="E17" s="13" t="s">
        <v>16</v>
      </c>
      <c r="F17" s="4" t="s">
        <v>17</v>
      </c>
      <c r="H17" s="136" t="s">
        <v>248</v>
      </c>
      <c r="I17" s="137">
        <v>1</v>
      </c>
      <c r="J17" s="137">
        <v>1</v>
      </c>
      <c r="K17" s="138">
        <v>1</v>
      </c>
    </row>
    <row r="18" spans="1:11" x14ac:dyDescent="0.2">
      <c r="A18" s="37" t="s">
        <v>18</v>
      </c>
      <c r="B18" s="9">
        <v>0</v>
      </c>
      <c r="C18" s="85">
        <v>0</v>
      </c>
      <c r="D18" s="152">
        <f>IF(C18&gt;0,D10,0)</f>
        <v>0</v>
      </c>
      <c r="E18" s="155">
        <f>ROUND((C18*D18)/4,9)</f>
        <v>0</v>
      </c>
      <c r="F18" s="155">
        <f>E18</f>
        <v>0</v>
      </c>
    </row>
    <row r="19" spans="1:11" x14ac:dyDescent="0.2">
      <c r="A19" s="37" t="s">
        <v>19</v>
      </c>
      <c r="B19" s="51">
        <v>2.5</v>
      </c>
      <c r="C19" s="86"/>
      <c r="D19" s="153"/>
      <c r="E19" s="155"/>
      <c r="F19" s="155"/>
    </row>
    <row r="20" spans="1:11" x14ac:dyDescent="0.2">
      <c r="B20" s="44"/>
      <c r="C20" s="44"/>
      <c r="D20" s="44"/>
      <c r="E20" s="44"/>
      <c r="F20" s="44"/>
    </row>
    <row r="21" spans="1:11" x14ac:dyDescent="0.2">
      <c r="A21" s="5" t="s">
        <v>241</v>
      </c>
      <c r="B21" s="44"/>
      <c r="C21" s="44"/>
      <c r="D21" s="44"/>
      <c r="E21" s="44"/>
      <c r="F21" s="44"/>
    </row>
    <row r="22" spans="1:11" x14ac:dyDescent="0.2">
      <c r="A22" s="57" t="s">
        <v>1</v>
      </c>
      <c r="B22" s="57" t="s">
        <v>20</v>
      </c>
      <c r="C22" s="57" t="s">
        <v>21</v>
      </c>
      <c r="D22" s="57" t="s">
        <v>22</v>
      </c>
      <c r="E22" s="44"/>
      <c r="F22" s="44"/>
    </row>
    <row r="23" spans="1:11" x14ac:dyDescent="0.2">
      <c r="A23" s="37" t="s">
        <v>23</v>
      </c>
      <c r="B23" s="58"/>
      <c r="C23" s="16">
        <f>ROUND(23.16/4,4)</f>
        <v>5.79</v>
      </c>
      <c r="D23" s="9">
        <f>(C23*B23)</f>
        <v>0</v>
      </c>
      <c r="E23" s="44"/>
      <c r="F23" s="44"/>
    </row>
    <row r="24" spans="1:11" x14ac:dyDescent="0.2">
      <c r="B24" s="44"/>
      <c r="C24" s="44"/>
      <c r="D24" s="44"/>
      <c r="E24" s="44"/>
      <c r="F24" s="44"/>
    </row>
    <row r="25" spans="1:11" x14ac:dyDescent="0.2">
      <c r="A25" s="5" t="s">
        <v>242</v>
      </c>
      <c r="B25" s="44"/>
      <c r="C25" s="44"/>
      <c r="D25" s="44"/>
      <c r="E25" s="44"/>
      <c r="F25" s="44"/>
      <c r="H25" s="44">
        <v>0</v>
      </c>
    </row>
    <row r="26" spans="1:11" x14ac:dyDescent="0.2">
      <c r="A26" s="57" t="s">
        <v>1</v>
      </c>
      <c r="B26" s="57" t="s">
        <v>24</v>
      </c>
      <c r="C26" s="57" t="s">
        <v>25</v>
      </c>
      <c r="D26" s="57" t="s">
        <v>26</v>
      </c>
      <c r="E26" s="44"/>
      <c r="F26" s="44"/>
      <c r="H26" s="44">
        <v>1</v>
      </c>
    </row>
    <row r="27" spans="1:11" x14ac:dyDescent="0.2">
      <c r="A27" s="37" t="s">
        <v>27</v>
      </c>
      <c r="B27" s="58"/>
      <c r="C27" s="16">
        <f>ROUND(37.77/4,9)</f>
        <v>9.4425000000000008</v>
      </c>
      <c r="D27" s="9">
        <f>(C27*B27)</f>
        <v>0</v>
      </c>
      <c r="E27" s="44"/>
      <c r="F27" s="44"/>
      <c r="H27" s="44">
        <v>2</v>
      </c>
    </row>
    <row r="28" spans="1:11" x14ac:dyDescent="0.2">
      <c r="B28" s="44"/>
      <c r="C28" s="44"/>
      <c r="D28" s="44"/>
      <c r="E28" s="44"/>
      <c r="F28" s="44"/>
      <c r="H28" s="44">
        <v>3</v>
      </c>
    </row>
    <row r="29" spans="1:11" x14ac:dyDescent="0.2">
      <c r="A29" s="5" t="s">
        <v>243</v>
      </c>
      <c r="B29" s="44"/>
      <c r="C29" s="44"/>
      <c r="D29" s="44"/>
      <c r="E29" s="44"/>
      <c r="F29" s="44"/>
      <c r="H29" s="44">
        <v>4</v>
      </c>
    </row>
    <row r="30" spans="1:11" x14ac:dyDescent="0.2">
      <c r="A30" s="34" t="s">
        <v>28</v>
      </c>
      <c r="B30" s="48"/>
      <c r="C30" s="48"/>
      <c r="D30" s="52" t="s">
        <v>29</v>
      </c>
      <c r="E30" s="44"/>
      <c r="F30" s="44"/>
      <c r="H30" s="44">
        <v>5</v>
      </c>
    </row>
    <row r="31" spans="1:11" x14ac:dyDescent="0.2">
      <c r="A31" s="156" t="s">
        <v>30</v>
      </c>
      <c r="B31" s="157"/>
      <c r="C31" s="53">
        <v>8.7099999999999997E-2</v>
      </c>
      <c r="D31" s="9">
        <f>((F10+F14+F18+D27+D23)*C31)</f>
        <v>8.2438403645000005E-2</v>
      </c>
      <c r="E31" s="44"/>
      <c r="F31" s="44"/>
    </row>
    <row r="32" spans="1:11" x14ac:dyDescent="0.2">
      <c r="B32" s="44"/>
      <c r="C32" s="44"/>
      <c r="D32" s="44"/>
      <c r="E32" s="44"/>
      <c r="F32" s="44"/>
    </row>
    <row r="33" spans="1:6" x14ac:dyDescent="0.2">
      <c r="A33" s="5" t="s">
        <v>244</v>
      </c>
      <c r="B33" s="44"/>
      <c r="C33" s="44"/>
      <c r="D33" s="44"/>
      <c r="E33" s="44"/>
      <c r="F33" s="44"/>
    </row>
    <row r="34" spans="1:6" x14ac:dyDescent="0.2">
      <c r="A34" s="158" t="s">
        <v>31</v>
      </c>
      <c r="B34" s="159"/>
      <c r="C34" s="54">
        <f>(F10+F14+F18+D27+D23+D31)</f>
        <v>1.0289183536450002</v>
      </c>
      <c r="D34" s="44"/>
      <c r="E34" s="44"/>
      <c r="F34" s="44"/>
    </row>
    <row r="35" spans="1:6" x14ac:dyDescent="0.2">
      <c r="B35" s="44"/>
      <c r="C35" s="44"/>
      <c r="D35" s="44"/>
      <c r="E35" s="44"/>
      <c r="F35" s="44"/>
    </row>
    <row r="36" spans="1:6" x14ac:dyDescent="0.2">
      <c r="B36" s="44"/>
      <c r="C36" s="44"/>
      <c r="D36" s="44"/>
      <c r="E36" s="44"/>
      <c r="F36" s="44"/>
    </row>
    <row r="44" spans="1:6" x14ac:dyDescent="0.2">
      <c r="B44" s="154"/>
    </row>
    <row r="45" spans="1:6" ht="19.5" customHeight="1" x14ac:dyDescent="0.2">
      <c r="B45" s="154"/>
    </row>
    <row r="46" spans="1:6" x14ac:dyDescent="0.2">
      <c r="B46" s="154"/>
    </row>
  </sheetData>
  <sheetProtection algorithmName="SHA-512" hashValue="15aTNb7m3X4Co+cplf/7piaG2taMY8144PFHqdh64XvAdvC7onpwch3y2vCaBy7R8LNKcz9uOO5gf4q0I30Iug==" saltValue="UMFRSyLHIAeBLV45ceZm1Q==" spinCount="100000" sheet="1" objects="1" scenarios="1"/>
  <mergeCells count="9">
    <mergeCell ref="E18:E19"/>
    <mergeCell ref="F18:F19"/>
    <mergeCell ref="A31:B31"/>
    <mergeCell ref="A34:B34"/>
    <mergeCell ref="A4:B4"/>
    <mergeCell ref="A5:B5"/>
    <mergeCell ref="A6:B6"/>
    <mergeCell ref="D18:D19"/>
    <mergeCell ref="B44:B46"/>
  </mergeCells>
  <phoneticPr fontId="2" type="noConversion"/>
  <dataValidations xWindow="638" yWindow="415" count="25">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$H$7:$H$17</formula1>
    </dataValidation>
    <dataValidation allowBlank="1" showInputMessage="1" showErrorMessage="1" prompt="Direct Staff Wage" sqref="C10"/>
    <dataValidation allowBlank="1" showInputMessage="1" showErrorMessage="1" prompt="Direct Staff Units" sqref="D10"/>
    <dataValidation allowBlank="1" showInputMessage="1" showErrorMessage="1" prompt="Direct Staff Total Cost per Unit formula is Wage divided by four" sqref="E10"/>
    <dataValidation allowBlank="1" showInputMessage="1" showErrorMessage="1" prompt="Direct Staff Pro-rated Cost of Staff per Unit formula is Total Cost per Unit divided by last digit of Staffing Ratio" sqref="F10"/>
    <dataValidation allowBlank="1" showInputMessage="1" showErrorMessage="1" prompt="Supervision Wage" sqref="C14"/>
    <dataValidation allowBlank="1" showInputMessage="1" showErrorMessage="1" prompt="Supervision Units formula is equal to Direct Staff Units times Supervision Percent" sqref="E14"/>
    <dataValidation allowBlank="1" showInputMessage="1" showErrorMessage="1" prompt="Supervision Total Cost per Unit formula is ((Supervision Wage divided by four) times Supervision Units)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dataValidation allowBlank="1" showInputMessage="1" showErrorMessage="1" prompt="Use CTRL plus arrow keys to move to edge of each table.  Use TAB to move to data entry fields" sqref="A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Unit formula is Add-on Amount times Staffing Customization Total Hours per Unit" sqref="E18:E19"/>
    <dataValidation allowBlank="1" showInputMessage="1" showErrorMessage="1" prompt="Staffing Customization Amount per Unit formula is equal to Total Cost per Unit" sqref="F18:F19"/>
    <dataValidation allowBlank="1" showInputMessage="1" showErrorMessage="1" prompt="Supervision Percent" sqref="D14"/>
    <dataValidation allowBlank="1" showInputMessage="1" showErrorMessage="1" prompt="If Add-on Choice Amount is greater than $0, Staffing Customization Total Units formula is equal to Direct Staff Units" sqref="D18:D19"/>
    <dataValidation type="decimal" operator="lessThan" allowBlank="1" showInputMessage="1" showErrorMessage="1" prompt="Select number of RN units.  Press ALT and the down arrow to bring up the drop down options.  Use arrow keys to scroll through the options and press ENTER on the appropriate selection." sqref="B27">
      <formula1>1.00000001</formula1>
    </dataValidation>
    <dataValidation allowBlank="1" showInputMessage="1" showErrorMessage="1" prompt="RN Unit Wage is $37.77 divided by four" sqref="C27"/>
    <dataValidation allowBlank="1" showInputMessage="1" showErrorMessage="1" prompt="LPN Unit Wage is $23.16 divided by four" sqref="C23"/>
    <dataValidation type="decimal" operator="lessThan" allowBlank="1" showInputMessage="1" showErrorMessage="1" prompt="Select number of LPN Units.  Press ALT and the down arrow to bring up the drop down options.  Use arrow keys to scroll through the options and press ENTER on the appropriate selection." sqref="B23">
      <formula1>1.00000001</formula1>
    </dataValidation>
    <dataValidation allowBlank="1" showInputMessage="1" showErrorMessage="1" prompt="Deaf or Hard of Hearing Add-on Amount" sqref="B19"/>
    <dataValidation allowBlank="1" showInputMessage="1" showErrorMessage="1" prompt="Shared On-site Primary Staff/Awake Wage" sqref="C4"/>
  </dataValidations>
  <pageMargins left="0.75" right="0.75" top="1.37" bottom="1" header="0.5" footer="0.5"/>
  <pageSetup scale="79" orientation="portrait" r:id="rId1"/>
  <headerFooter alignWithMargins="0">
    <oddHeader>&amp;C&amp;G</oddHeader>
    <oddFooter>&amp;LDWRS Draft framework for Adult Day Care Services&amp;R&amp;P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C9" sqref="C9"/>
    </sheetView>
  </sheetViews>
  <sheetFormatPr defaultColWidth="9.140625" defaultRowHeight="12.75" x14ac:dyDescent="0.2"/>
  <cols>
    <col min="1" max="1" width="3.7109375" style="1" customWidth="1"/>
    <col min="2" max="2" width="62.7109375" style="1" customWidth="1"/>
    <col min="3" max="3" width="13.140625" style="1" customWidth="1"/>
    <col min="4" max="7" width="9.140625" style="2"/>
    <col min="8" max="16384" width="9.140625" style="1"/>
  </cols>
  <sheetData>
    <row r="1" spans="1:13" ht="15" x14ac:dyDescent="0.2">
      <c r="A1" s="59" t="s">
        <v>32</v>
      </c>
      <c r="B1" s="59"/>
      <c r="C1" s="59"/>
      <c r="D1" s="23"/>
      <c r="E1" s="23"/>
    </row>
    <row r="2" spans="1:13" x14ac:dyDescent="0.2">
      <c r="A2" s="23"/>
      <c r="B2" s="23"/>
      <c r="C2" s="23"/>
      <c r="D2" s="23"/>
      <c r="E2" s="23"/>
    </row>
    <row r="3" spans="1:13" x14ac:dyDescent="0.2">
      <c r="A3" s="5" t="s">
        <v>33</v>
      </c>
      <c r="D3" s="23"/>
      <c r="E3" s="23"/>
    </row>
    <row r="4" spans="1:13" ht="12.75" customHeight="1" x14ac:dyDescent="0.2">
      <c r="A4" s="160" t="s">
        <v>34</v>
      </c>
      <c r="B4" s="161"/>
      <c r="C4" s="162"/>
      <c r="D4" s="23"/>
      <c r="E4" s="23"/>
    </row>
    <row r="5" spans="1:13" ht="27.75" customHeight="1" x14ac:dyDescent="0.2">
      <c r="A5" s="165" t="s">
        <v>226</v>
      </c>
      <c r="B5" s="166"/>
      <c r="C5" s="167"/>
      <c r="D5" s="23"/>
      <c r="E5" s="23"/>
    </row>
    <row r="6" spans="1:13" x14ac:dyDescent="0.2">
      <c r="A6" s="109"/>
      <c r="B6" s="110" t="s">
        <v>35</v>
      </c>
      <c r="C6" s="17"/>
      <c r="D6" s="23"/>
      <c r="E6" s="23"/>
    </row>
    <row r="7" spans="1:13" x14ac:dyDescent="0.2">
      <c r="A7" s="109"/>
      <c r="B7" s="110" t="s">
        <v>36</v>
      </c>
      <c r="C7" s="14"/>
      <c r="D7" s="23"/>
      <c r="E7" s="23"/>
    </row>
    <row r="8" spans="1:13" x14ac:dyDescent="0.2">
      <c r="A8" s="109"/>
      <c r="B8" s="110" t="s">
        <v>37</v>
      </c>
      <c r="C8" s="14"/>
      <c r="D8" s="23"/>
      <c r="E8" s="23"/>
    </row>
    <row r="9" spans="1:13" x14ac:dyDescent="0.2">
      <c r="A9" s="163" t="s">
        <v>38</v>
      </c>
      <c r="B9" s="164"/>
      <c r="C9" s="31">
        <v>5.6000000000000001E-2</v>
      </c>
      <c r="D9" s="23"/>
      <c r="E9" s="23"/>
    </row>
    <row r="10" spans="1:13" s="2" customFormat="1" x14ac:dyDescent="0.2">
      <c r="A10" s="23"/>
      <c r="B10" s="23"/>
      <c r="C10" s="23"/>
      <c r="D10" s="23"/>
      <c r="E10" s="23"/>
    </row>
    <row r="11" spans="1:13" s="2" customFormat="1" x14ac:dyDescent="0.2">
      <c r="A11" s="23"/>
      <c r="B11" s="23"/>
      <c r="C11" s="23"/>
      <c r="D11" s="23"/>
      <c r="E11" s="23"/>
    </row>
    <row r="12" spans="1:13" s="2" customFormat="1" x14ac:dyDescent="0.2">
      <c r="B12" s="2" t="s">
        <v>39</v>
      </c>
    </row>
    <row r="13" spans="1:13" s="2" customFormat="1" x14ac:dyDescent="0.2">
      <c r="H13" s="2" t="s">
        <v>40</v>
      </c>
    </row>
    <row r="14" spans="1:13" x14ac:dyDescent="0.2">
      <c r="A14" s="2"/>
      <c r="B14" s="2"/>
      <c r="C14" s="2"/>
      <c r="M14" s="1" t="s">
        <v>41</v>
      </c>
    </row>
  </sheetData>
  <sheetProtection algorithmName="SHA-512" hashValue="87DI6pB21detjCeHIG1GTPODVAhkGkEJG6gspSr5FZjj35ivAcO086RwkeukZTv5vMWvgRMvBn7eEtlgvxVD3A==" saltValue="AwCR00O9onUOUgyPYN2f7A=="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election activeCell="J29" sqref="J29"/>
    </sheetView>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59" t="s">
        <v>42</v>
      </c>
      <c r="B1" s="59"/>
      <c r="C1" s="59"/>
      <c r="D1" s="23"/>
      <c r="E1" s="23"/>
    </row>
    <row r="2" spans="1:5" x14ac:dyDescent="0.2">
      <c r="A2" s="23"/>
      <c r="B2" s="23"/>
      <c r="C2" s="23"/>
      <c r="D2" s="23"/>
      <c r="E2" s="23"/>
    </row>
    <row r="3" spans="1:5" x14ac:dyDescent="0.2">
      <c r="A3" s="5" t="s">
        <v>43</v>
      </c>
      <c r="D3" s="23"/>
      <c r="E3" s="23"/>
    </row>
    <row r="4" spans="1:5" x14ac:dyDescent="0.2">
      <c r="A4" s="173" t="s">
        <v>44</v>
      </c>
      <c r="B4" s="174"/>
      <c r="C4" s="18" t="s">
        <v>45</v>
      </c>
      <c r="D4" s="23"/>
      <c r="E4" s="23"/>
    </row>
    <row r="5" spans="1:5" x14ac:dyDescent="0.2">
      <c r="A5" s="168" t="s">
        <v>46</v>
      </c>
      <c r="B5" s="169"/>
      <c r="C5" s="170">
        <v>0.11559999999999999</v>
      </c>
      <c r="D5" s="23"/>
      <c r="E5" s="23"/>
    </row>
    <row r="6" spans="1:5" x14ac:dyDescent="0.2">
      <c r="A6" s="10"/>
      <c r="B6" s="175" t="s">
        <v>47</v>
      </c>
      <c r="C6" s="171"/>
      <c r="D6" s="23"/>
      <c r="E6" s="23"/>
    </row>
    <row r="7" spans="1:5" x14ac:dyDescent="0.2">
      <c r="A7" s="11"/>
      <c r="B7" s="176"/>
      <c r="C7" s="172"/>
      <c r="D7" s="23"/>
      <c r="E7" s="23"/>
    </row>
    <row r="8" spans="1:5" x14ac:dyDescent="0.2">
      <c r="A8" s="168" t="s">
        <v>48</v>
      </c>
      <c r="B8" s="169"/>
      <c r="C8" s="170">
        <v>0.12039999999999999</v>
      </c>
      <c r="D8" s="23"/>
      <c r="E8" s="23"/>
    </row>
    <row r="9" spans="1:5" x14ac:dyDescent="0.2">
      <c r="A9" s="10"/>
      <c r="B9" s="2" t="s">
        <v>49</v>
      </c>
      <c r="C9" s="171"/>
      <c r="D9" s="23"/>
      <c r="E9" s="23"/>
    </row>
    <row r="10" spans="1:5" x14ac:dyDescent="0.2">
      <c r="A10" s="10"/>
      <c r="B10" s="2" t="s">
        <v>50</v>
      </c>
      <c r="C10" s="171"/>
      <c r="D10" s="23"/>
      <c r="E10" s="23"/>
    </row>
    <row r="11" spans="1:5" x14ac:dyDescent="0.2">
      <c r="A11" s="10"/>
      <c r="B11" s="2" t="s">
        <v>51</v>
      </c>
      <c r="C11" s="171"/>
      <c r="D11" s="23"/>
      <c r="E11" s="23"/>
    </row>
    <row r="12" spans="1:5" x14ac:dyDescent="0.2">
      <c r="A12" s="10"/>
      <c r="B12" s="2" t="s">
        <v>52</v>
      </c>
      <c r="C12" s="171"/>
      <c r="D12" s="23"/>
      <c r="E12" s="23"/>
    </row>
    <row r="13" spans="1:5" x14ac:dyDescent="0.2">
      <c r="A13" s="10"/>
      <c r="B13" s="2" t="s">
        <v>53</v>
      </c>
      <c r="C13" s="171"/>
      <c r="D13" s="23"/>
      <c r="E13" s="23"/>
    </row>
    <row r="14" spans="1:5" x14ac:dyDescent="0.2">
      <c r="A14" s="10"/>
      <c r="B14" s="2" t="s">
        <v>54</v>
      </c>
      <c r="C14" s="171"/>
      <c r="D14" s="23"/>
      <c r="E14" s="23"/>
    </row>
    <row r="15" spans="1:5" x14ac:dyDescent="0.2">
      <c r="A15" s="10"/>
      <c r="B15" s="2" t="s">
        <v>55</v>
      </c>
      <c r="C15" s="171"/>
      <c r="D15" s="23"/>
      <c r="E15" s="23"/>
    </row>
    <row r="16" spans="1:5" x14ac:dyDescent="0.2">
      <c r="A16" s="10"/>
      <c r="B16" s="2" t="s">
        <v>56</v>
      </c>
      <c r="C16" s="171"/>
      <c r="D16" s="23"/>
      <c r="E16" s="23"/>
    </row>
    <row r="17" spans="1:5" x14ac:dyDescent="0.2">
      <c r="A17" s="10"/>
      <c r="B17" s="2" t="s">
        <v>57</v>
      </c>
      <c r="C17" s="171"/>
      <c r="D17" s="23"/>
      <c r="E17" s="23"/>
    </row>
    <row r="18" spans="1:5" ht="11.25" customHeight="1" x14ac:dyDescent="0.2">
      <c r="A18" s="11"/>
      <c r="B18" s="12"/>
      <c r="C18" s="172"/>
      <c r="D18" s="23"/>
      <c r="E18" s="23"/>
    </row>
    <row r="19" spans="1:5" x14ac:dyDescent="0.2">
      <c r="A19" s="163" t="s">
        <v>58</v>
      </c>
      <c r="B19" s="164"/>
      <c r="C19" s="32">
        <f>SUM(C5:C18)</f>
        <v>0.23599999999999999</v>
      </c>
      <c r="D19" s="23"/>
      <c r="E19" s="23"/>
    </row>
    <row r="20" spans="1:5" x14ac:dyDescent="0.2">
      <c r="A20" s="23"/>
      <c r="B20" s="23"/>
      <c r="C20" s="23"/>
      <c r="D20" s="23"/>
      <c r="E20" s="23"/>
    </row>
    <row r="21" spans="1:5" x14ac:dyDescent="0.2">
      <c r="A21" s="1" t="s">
        <v>59</v>
      </c>
      <c r="C21" s="23"/>
      <c r="D21" s="23"/>
      <c r="E21" s="23"/>
    </row>
    <row r="22" spans="1:5" x14ac:dyDescent="0.2">
      <c r="A22" s="23"/>
      <c r="B22" s="23"/>
      <c r="C22" s="23"/>
      <c r="D22" s="23"/>
      <c r="E22" s="23"/>
    </row>
    <row r="23" spans="1:5" x14ac:dyDescent="0.2">
      <c r="A23" s="23"/>
      <c r="B23" s="23"/>
      <c r="C23" s="23"/>
      <c r="D23" s="23"/>
      <c r="E23" s="23"/>
    </row>
  </sheetData>
  <sheetProtection algorithmName="SHA-512" hashValue="uWDKZVO0XJd/pyH6037Ep3Zx7N7IINASW9m2ZNT+9Bc9Wns6TNOP79E4j/DAs40c1t8BIFumMUP3MGtGaFe5Xw==" saltValue="GRn6oQtTBpNGp7D4Dxn0VQ==" spinCount="100000"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topLeftCell="A2" zoomScale="125" workbookViewId="0">
      <selection activeCell="C9" sqref="C9"/>
    </sheetView>
  </sheetViews>
  <sheetFormatPr defaultColWidth="9.140625" defaultRowHeight="12.75" x14ac:dyDescent="0.2"/>
  <cols>
    <col min="1" max="1" width="40.85546875" style="1" customWidth="1"/>
    <col min="2" max="2" width="20.42578125" style="1" customWidth="1"/>
    <col min="3" max="3" width="18.140625" style="1" customWidth="1"/>
    <col min="4" max="16384" width="9.140625" style="1"/>
  </cols>
  <sheetData>
    <row r="1" spans="1:5" ht="15" x14ac:dyDescent="0.2">
      <c r="A1" s="59" t="s">
        <v>60</v>
      </c>
      <c r="B1" s="59"/>
      <c r="C1" s="23"/>
      <c r="D1" s="23"/>
      <c r="E1" s="23"/>
    </row>
    <row r="2" spans="1:5" x14ac:dyDescent="0.2">
      <c r="A2" s="23"/>
      <c r="B2" s="23"/>
      <c r="C2" s="23"/>
      <c r="D2" s="23"/>
      <c r="E2" s="23"/>
    </row>
    <row r="3" spans="1:5" x14ac:dyDescent="0.2">
      <c r="A3" s="5" t="s">
        <v>61</v>
      </c>
      <c r="C3" s="23"/>
      <c r="D3" s="23"/>
      <c r="E3" s="23"/>
    </row>
    <row r="4" spans="1:5" x14ac:dyDescent="0.2">
      <c r="A4" s="173" t="s">
        <v>62</v>
      </c>
      <c r="B4" s="174"/>
      <c r="C4" s="18" t="s">
        <v>63</v>
      </c>
      <c r="D4" s="23"/>
      <c r="E4" s="23"/>
    </row>
    <row r="5" spans="1:5" ht="138" customHeight="1" x14ac:dyDescent="0.2">
      <c r="A5" s="179" t="s">
        <v>227</v>
      </c>
      <c r="B5" s="178"/>
      <c r="C5" s="142">
        <v>0.109</v>
      </c>
      <c r="D5" s="23"/>
      <c r="E5" s="23"/>
    </row>
    <row r="6" spans="1:5" x14ac:dyDescent="0.2">
      <c r="A6" s="23"/>
      <c r="B6" s="23"/>
      <c r="C6" s="23"/>
      <c r="D6" s="23"/>
      <c r="E6" s="23"/>
    </row>
    <row r="7" spans="1:5" x14ac:dyDescent="0.2">
      <c r="A7" s="5" t="s">
        <v>64</v>
      </c>
      <c r="C7" s="23"/>
      <c r="D7" s="23"/>
      <c r="E7" s="23"/>
    </row>
    <row r="8" spans="1:5" x14ac:dyDescent="0.2">
      <c r="A8" s="173" t="s">
        <v>65</v>
      </c>
      <c r="B8" s="174"/>
      <c r="C8" s="18" t="s">
        <v>66</v>
      </c>
      <c r="D8" s="23"/>
      <c r="E8" s="23"/>
    </row>
    <row r="9" spans="1:5" x14ac:dyDescent="0.2">
      <c r="A9" s="177" t="s">
        <v>67</v>
      </c>
      <c r="B9" s="178"/>
      <c r="C9" s="142">
        <f>C5</f>
        <v>0.109</v>
      </c>
      <c r="D9" s="23"/>
      <c r="E9" s="23"/>
    </row>
    <row r="10" spans="1:5" x14ac:dyDescent="0.2">
      <c r="A10" s="23"/>
      <c r="B10" s="23"/>
      <c r="C10" s="23"/>
      <c r="D10" s="23"/>
      <c r="E10" s="23"/>
    </row>
    <row r="11" spans="1:5" x14ac:dyDescent="0.2">
      <c r="A11" s="23"/>
      <c r="B11" s="23"/>
      <c r="C11" s="23"/>
      <c r="D11" s="23"/>
      <c r="E11" s="23"/>
    </row>
  </sheetData>
  <sheetProtection algorithmName="SHA-512" hashValue="x0J1CRC/jfSkTs/ndQ7N2qFcW4YJdqNFBQECPy4d8Ps7hUnRvhh4QfuzNiC5eISjtV7XZraMYLfFeqXgiYE63g==" saltValue="LmEvkJvMqiSHAlz5iR9+KA=="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B5" sqref="B5"/>
    </sheetView>
  </sheetViews>
  <sheetFormatPr defaultColWidth="9.140625" defaultRowHeight="12.75" x14ac:dyDescent="0.2"/>
  <cols>
    <col min="1" max="1" width="14.140625" style="1" customWidth="1"/>
    <col min="2" max="2" width="15.5703125" style="1" customWidth="1"/>
    <col min="3" max="3" width="15.7109375" style="1" customWidth="1"/>
    <col min="4" max="16384" width="9.140625" style="1"/>
  </cols>
  <sheetData>
    <row r="1" spans="1:6" ht="15" x14ac:dyDescent="0.2">
      <c r="A1" s="59" t="s">
        <v>68</v>
      </c>
      <c r="B1" s="59"/>
      <c r="C1" s="59"/>
      <c r="D1" s="23"/>
      <c r="E1" s="23"/>
      <c r="F1" s="23"/>
    </row>
    <row r="2" spans="1:6" x14ac:dyDescent="0.2">
      <c r="A2" s="23"/>
      <c r="B2" s="23"/>
      <c r="C2" s="23"/>
      <c r="D2" s="23"/>
      <c r="E2" s="23"/>
      <c r="F2" s="23"/>
    </row>
    <row r="3" spans="1:6" ht="13.5" thickBot="1" x14ac:dyDescent="0.25">
      <c r="A3" s="5" t="s">
        <v>69</v>
      </c>
      <c r="E3" s="23"/>
      <c r="F3" s="23"/>
    </row>
    <row r="4" spans="1:6" ht="25.5" x14ac:dyDescent="0.2">
      <c r="A4" s="22" t="s">
        <v>2</v>
      </c>
      <c r="B4" s="42" t="s">
        <v>70</v>
      </c>
      <c r="C4" s="42" t="s">
        <v>71</v>
      </c>
      <c r="D4" s="23"/>
      <c r="E4" s="23"/>
      <c r="F4" s="23"/>
    </row>
    <row r="5" spans="1:6" ht="25.5" x14ac:dyDescent="0.2">
      <c r="A5" s="139" t="str">
        <f>'Direct Staffing'!B10</f>
        <v>Face to Face 1:10</v>
      </c>
      <c r="B5" s="143">
        <f>ROUND(21.04/120,3)</f>
        <v>0.17499999999999999</v>
      </c>
      <c r="C5" s="84">
        <f>ROUND(((1+1/(VLOOKUP(A5,'Direct Staffing'!$H7:$K17,2,FALSE)))*B5),3)</f>
        <v>0.20799999999999999</v>
      </c>
      <c r="D5" s="23"/>
      <c r="E5" s="23"/>
      <c r="F5" s="23"/>
    </row>
    <row r="6" spans="1:6" x14ac:dyDescent="0.2">
      <c r="A6" s="23"/>
      <c r="B6" s="23"/>
      <c r="C6" s="23"/>
      <c r="D6" s="23"/>
      <c r="E6" s="23"/>
      <c r="F6" s="23"/>
    </row>
    <row r="7" spans="1:6" x14ac:dyDescent="0.2">
      <c r="A7" s="23"/>
      <c r="B7" s="23"/>
      <c r="C7" s="23"/>
      <c r="D7" s="23"/>
      <c r="E7" s="23"/>
      <c r="F7" s="23"/>
    </row>
  </sheetData>
  <sheetProtection algorithmName="SHA-512" hashValue="skZbTG2jjE2h72+ShgS5AORy0G6hlxCqqtsfL+Myv6Hs4awBzSy/Enz0FxGyLdOXGhTz8Kuvgx9cgFOEUqCQIw==" saltValue="Yi5BJburXPEvPdzOIOubQQ==" spinCount="100000" sheet="1" objects="1" scenarios="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Unit formula is $21.04 divided by 120" sqref="B5"/>
    <dataValidation allowBlank="1" showInputMessage="1" showErrorMessage="1" prompt="Quarter Hourly Facility Cost formula is equal to Ratio Factor times Rate per Person per Unit"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59" t="s">
        <v>72</v>
      </c>
      <c r="B1" s="59"/>
      <c r="C1" s="59"/>
      <c r="D1" s="23"/>
      <c r="E1" s="23"/>
      <c r="F1" s="23"/>
      <c r="G1" s="23"/>
    </row>
    <row r="2" spans="1:7" x14ac:dyDescent="0.2">
      <c r="A2" s="23"/>
      <c r="B2" s="23"/>
      <c r="C2" s="23"/>
      <c r="D2" s="23"/>
      <c r="E2" s="23"/>
      <c r="F2" s="23"/>
      <c r="G2" s="23"/>
    </row>
    <row r="3" spans="1:7" x14ac:dyDescent="0.2">
      <c r="A3" s="60" t="s">
        <v>73</v>
      </c>
      <c r="B3" s="60"/>
      <c r="C3" s="60"/>
      <c r="D3" s="60"/>
      <c r="E3" s="60"/>
      <c r="F3" s="60"/>
      <c r="G3" s="23"/>
    </row>
    <row r="4" spans="1:7" x14ac:dyDescent="0.2">
      <c r="A4" s="184" t="s">
        <v>74</v>
      </c>
      <c r="B4" s="184"/>
      <c r="C4" s="184"/>
      <c r="D4" s="184"/>
      <c r="E4" s="19" t="s">
        <v>75</v>
      </c>
      <c r="F4" s="23"/>
      <c r="G4" s="23"/>
    </row>
    <row r="5" spans="1:7" ht="12" customHeight="1" x14ac:dyDescent="0.2">
      <c r="A5" s="185" t="s">
        <v>76</v>
      </c>
      <c r="B5" s="185"/>
      <c r="C5" s="185"/>
      <c r="D5" s="185"/>
      <c r="E5" s="33">
        <v>0.13250000000000001</v>
      </c>
      <c r="F5" s="23"/>
      <c r="G5" s="23"/>
    </row>
    <row r="6" spans="1:7" x14ac:dyDescent="0.2">
      <c r="A6" s="185" t="s">
        <v>77</v>
      </c>
      <c r="B6" s="185"/>
      <c r="C6" s="185"/>
      <c r="D6" s="185"/>
      <c r="E6" s="33">
        <v>1.7999999999999999E-2</v>
      </c>
      <c r="F6" s="23"/>
      <c r="G6" s="23"/>
    </row>
    <row r="7" spans="1:7" x14ac:dyDescent="0.2">
      <c r="A7" s="180" t="s">
        <v>78</v>
      </c>
      <c r="B7" s="181"/>
      <c r="C7" s="181"/>
      <c r="D7" s="182"/>
      <c r="E7" s="33">
        <v>9.4E-2</v>
      </c>
      <c r="F7" s="23"/>
      <c r="G7" s="23"/>
    </row>
    <row r="8" spans="1:7" x14ac:dyDescent="0.2">
      <c r="A8" s="183" t="s">
        <v>79</v>
      </c>
      <c r="B8" s="183"/>
      <c r="C8" s="183"/>
      <c r="D8" s="183"/>
      <c r="E8" s="32">
        <f>SUM(E5:E7)</f>
        <v>0.2445</v>
      </c>
      <c r="F8" s="23"/>
      <c r="G8" s="23"/>
    </row>
    <row r="9" spans="1:7" x14ac:dyDescent="0.2">
      <c r="A9" s="23"/>
      <c r="B9" s="23"/>
      <c r="C9" s="23"/>
      <c r="D9" s="23"/>
      <c r="E9" s="23"/>
      <c r="F9" s="23"/>
      <c r="G9" s="23"/>
    </row>
    <row r="10" spans="1:7" x14ac:dyDescent="0.2">
      <c r="C10" s="23"/>
      <c r="D10" s="23"/>
      <c r="E10" s="23"/>
      <c r="F10" s="23"/>
      <c r="G10" s="23"/>
    </row>
    <row r="11" spans="1:7" x14ac:dyDescent="0.2">
      <c r="A11" s="23"/>
      <c r="B11" s="23"/>
      <c r="C11" s="23"/>
      <c r="D11" s="23"/>
      <c r="E11" s="23"/>
      <c r="F11" s="23"/>
      <c r="G11" s="23"/>
    </row>
    <row r="12" spans="1:7" x14ac:dyDescent="0.2">
      <c r="A12" s="23"/>
      <c r="B12" s="23"/>
      <c r="C12" s="23"/>
      <c r="D12" s="23"/>
      <c r="E12" s="23"/>
      <c r="F12" s="23"/>
      <c r="G12" s="23"/>
    </row>
  </sheetData>
  <sheetProtection password="C10A" sheet="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66" bestFit="1" customWidth="1"/>
  </cols>
  <sheetData>
    <row r="3" spans="1:6" x14ac:dyDescent="0.2">
      <c r="A3" s="5" t="s">
        <v>80</v>
      </c>
      <c r="B3" s="44"/>
      <c r="C3" s="44"/>
      <c r="D3" s="44"/>
    </row>
    <row r="4" spans="1:6" x14ac:dyDescent="0.2">
      <c r="A4" s="34" t="s">
        <v>81</v>
      </c>
      <c r="B4" s="186" t="s">
        <v>82</v>
      </c>
      <c r="C4" s="187"/>
      <c r="D4" s="188"/>
    </row>
    <row r="5" spans="1:6" x14ac:dyDescent="0.2">
      <c r="A5" s="34" t="s">
        <v>83</v>
      </c>
      <c r="B5" s="189" t="str">
        <f>INDEX($C$10:$C$108,MATCH(B4:D4,B10:B108,0))</f>
        <v>Unspecified Region</v>
      </c>
      <c r="C5" s="190"/>
      <c r="D5" s="191"/>
    </row>
    <row r="7" spans="1:6" hidden="1" x14ac:dyDescent="0.2">
      <c r="A7" t="s">
        <v>84</v>
      </c>
      <c r="B7" t="str">
        <f>INDEX($D$10:$D$108,MATCH(B4:D4,B10:B108,0))</f>
        <v>-</v>
      </c>
    </row>
    <row r="8" spans="1:6" hidden="1" x14ac:dyDescent="0.2"/>
    <row r="9" spans="1:6" ht="15" hidden="1" x14ac:dyDescent="0.2">
      <c r="B9" s="63" t="s">
        <v>85</v>
      </c>
      <c r="C9" s="63" t="s">
        <v>86</v>
      </c>
      <c r="D9" s="67" t="s">
        <v>84</v>
      </c>
      <c r="F9"/>
    </row>
    <row r="10" spans="1:6" ht="15" hidden="1" x14ac:dyDescent="0.2">
      <c r="B10" s="68" t="s">
        <v>82</v>
      </c>
      <c r="C10" s="68" t="s">
        <v>87</v>
      </c>
      <c r="D10" s="69" t="s">
        <v>88</v>
      </c>
      <c r="F10"/>
    </row>
    <row r="11" spans="1:6" ht="15" hidden="1" x14ac:dyDescent="0.2">
      <c r="B11" s="64" t="s">
        <v>89</v>
      </c>
      <c r="C11" s="64" t="s">
        <v>90</v>
      </c>
      <c r="D11" s="146">
        <v>0.99</v>
      </c>
      <c r="F11"/>
    </row>
    <row r="12" spans="1:6" ht="15" hidden="1" x14ac:dyDescent="0.2">
      <c r="B12" s="64" t="s">
        <v>91</v>
      </c>
      <c r="C12" s="64" t="s">
        <v>92</v>
      </c>
      <c r="D12" s="146">
        <v>1.004</v>
      </c>
      <c r="F12"/>
    </row>
    <row r="13" spans="1:6" ht="15" hidden="1" x14ac:dyDescent="0.2">
      <c r="B13" s="64" t="s">
        <v>93</v>
      </c>
      <c r="C13" s="64" t="s">
        <v>94</v>
      </c>
      <c r="D13" s="146">
        <v>0.96699999999999997</v>
      </c>
      <c r="F13"/>
    </row>
    <row r="14" spans="1:6" ht="15" hidden="1" x14ac:dyDescent="0.2">
      <c r="B14" s="64" t="s">
        <v>95</v>
      </c>
      <c r="C14" s="64" t="s">
        <v>94</v>
      </c>
      <c r="D14" s="146">
        <v>0.96699999999999997</v>
      </c>
      <c r="F14"/>
    </row>
    <row r="15" spans="1:6" ht="15" hidden="1" x14ac:dyDescent="0.2">
      <c r="B15" s="64" t="s">
        <v>96</v>
      </c>
      <c r="C15" s="64" t="s">
        <v>97</v>
      </c>
      <c r="D15" s="146">
        <v>1.0169999999999999</v>
      </c>
      <c r="F15"/>
    </row>
    <row r="16" spans="1:6" ht="15" hidden="1" x14ac:dyDescent="0.2">
      <c r="B16" s="64" t="s">
        <v>98</v>
      </c>
      <c r="C16" s="65" t="s">
        <v>99</v>
      </c>
      <c r="D16" s="146">
        <v>0.98599999999999999</v>
      </c>
      <c r="F16"/>
    </row>
    <row r="17" spans="2:6" ht="15" hidden="1" x14ac:dyDescent="0.2">
      <c r="B17" s="64" t="s">
        <v>100</v>
      </c>
      <c r="C17" s="64" t="s">
        <v>101</v>
      </c>
      <c r="D17" s="146">
        <v>1.022</v>
      </c>
      <c r="F17"/>
    </row>
    <row r="18" spans="2:6" ht="15" hidden="1" x14ac:dyDescent="0.2">
      <c r="B18" s="64" t="s">
        <v>102</v>
      </c>
      <c r="C18" s="65" t="s">
        <v>103</v>
      </c>
      <c r="D18" s="146">
        <v>1.0269999999999999</v>
      </c>
      <c r="F18"/>
    </row>
    <row r="19" spans="2:6" ht="15" hidden="1" x14ac:dyDescent="0.2">
      <c r="B19" s="64" t="s">
        <v>104</v>
      </c>
      <c r="C19" s="65" t="s">
        <v>105</v>
      </c>
      <c r="D19" s="146">
        <v>0.96499999999999997</v>
      </c>
      <c r="F19"/>
    </row>
    <row r="20" spans="2:6" ht="15" hidden="1" x14ac:dyDescent="0.2">
      <c r="B20" s="64" t="s">
        <v>106</v>
      </c>
      <c r="C20" s="64" t="s">
        <v>92</v>
      </c>
      <c r="D20" s="146">
        <v>1.004</v>
      </c>
      <c r="F20"/>
    </row>
    <row r="21" spans="2:6" ht="15" hidden="1" x14ac:dyDescent="0.2">
      <c r="B21" s="64" t="s">
        <v>107</v>
      </c>
      <c r="C21" s="64" t="s">
        <v>94</v>
      </c>
      <c r="D21" s="146">
        <v>0.96699999999999997</v>
      </c>
      <c r="F21"/>
    </row>
    <row r="22" spans="2:6" ht="15" hidden="1" x14ac:dyDescent="0.2">
      <c r="B22" s="64" t="s">
        <v>108</v>
      </c>
      <c r="C22" s="65" t="s">
        <v>99</v>
      </c>
      <c r="D22" s="146">
        <v>0.98599999999999999</v>
      </c>
      <c r="F22"/>
    </row>
    <row r="23" spans="2:6" ht="15" hidden="1" x14ac:dyDescent="0.2">
      <c r="B23" s="64" t="s">
        <v>109</v>
      </c>
      <c r="C23" s="65" t="s">
        <v>92</v>
      </c>
      <c r="D23" s="146">
        <v>1.004</v>
      </c>
      <c r="F23"/>
    </row>
    <row r="24" spans="2:6" ht="15" hidden="1" x14ac:dyDescent="0.2">
      <c r="B24" s="64" t="s">
        <v>110</v>
      </c>
      <c r="C24" s="65" t="s">
        <v>111</v>
      </c>
      <c r="D24" s="146">
        <v>1.004</v>
      </c>
      <c r="F24"/>
    </row>
    <row r="25" spans="2:6" ht="15" hidden="1" x14ac:dyDescent="0.2">
      <c r="B25" s="64" t="s">
        <v>112</v>
      </c>
      <c r="C25" s="64" t="s">
        <v>94</v>
      </c>
      <c r="D25" s="146">
        <v>0.96699999999999997</v>
      </c>
      <c r="F25"/>
    </row>
    <row r="26" spans="2:6" ht="15" hidden="1" x14ac:dyDescent="0.2">
      <c r="B26" s="64" t="s">
        <v>113</v>
      </c>
      <c r="C26" s="65" t="s">
        <v>90</v>
      </c>
      <c r="D26" s="146">
        <v>0.99</v>
      </c>
      <c r="F26"/>
    </row>
    <row r="27" spans="2:6" ht="15" hidden="1" x14ac:dyDescent="0.2">
      <c r="B27" s="64" t="s">
        <v>114</v>
      </c>
      <c r="C27" s="65" t="s">
        <v>99</v>
      </c>
      <c r="D27" s="146">
        <v>0.98599999999999999</v>
      </c>
      <c r="F27"/>
    </row>
    <row r="28" spans="2:6" ht="15" hidden="1" x14ac:dyDescent="0.2">
      <c r="B28" s="64" t="s">
        <v>115</v>
      </c>
      <c r="C28" s="64" t="s">
        <v>94</v>
      </c>
      <c r="D28" s="146">
        <v>0.96699999999999997</v>
      </c>
      <c r="F28"/>
    </row>
    <row r="29" spans="2:6" ht="15" hidden="1" x14ac:dyDescent="0.2">
      <c r="B29" s="64" t="s">
        <v>116</v>
      </c>
      <c r="C29" s="64" t="s">
        <v>92</v>
      </c>
      <c r="D29" s="146">
        <v>1.004</v>
      </c>
      <c r="F29"/>
    </row>
    <row r="30" spans="2:6" ht="15" hidden="1" x14ac:dyDescent="0.2">
      <c r="B30" s="64" t="s">
        <v>117</v>
      </c>
      <c r="C30" s="65" t="s">
        <v>118</v>
      </c>
      <c r="D30" s="146">
        <v>1.0029999999999999</v>
      </c>
      <c r="F30"/>
    </row>
    <row r="31" spans="2:6" ht="15" hidden="1" x14ac:dyDescent="0.2">
      <c r="B31" s="64" t="s">
        <v>119</v>
      </c>
      <c r="C31" s="64" t="s">
        <v>94</v>
      </c>
      <c r="D31" s="146">
        <v>0.96699999999999997</v>
      </c>
      <c r="F31"/>
    </row>
    <row r="32" spans="2:6" ht="15" hidden="1" x14ac:dyDescent="0.2">
      <c r="B32" s="64" t="s">
        <v>120</v>
      </c>
      <c r="C32" s="65" t="s">
        <v>103</v>
      </c>
      <c r="D32" s="146">
        <v>1.0269999999999999</v>
      </c>
      <c r="F32"/>
    </row>
    <row r="33" spans="2:6" ht="15" hidden="1" x14ac:dyDescent="0.2">
      <c r="B33" s="64" t="s">
        <v>121</v>
      </c>
      <c r="C33" s="65" t="s">
        <v>118</v>
      </c>
      <c r="D33" s="146">
        <v>1.0029999999999999</v>
      </c>
      <c r="F33"/>
    </row>
    <row r="34" spans="2:6" ht="15" hidden="1" x14ac:dyDescent="0.2">
      <c r="B34" s="64" t="s">
        <v>122</v>
      </c>
      <c r="C34" s="65" t="s">
        <v>103</v>
      </c>
      <c r="D34" s="146">
        <v>1.0269999999999999</v>
      </c>
      <c r="F34"/>
    </row>
    <row r="35" spans="2:6" ht="15" hidden="1" x14ac:dyDescent="0.2">
      <c r="B35" s="64" t="s">
        <v>123</v>
      </c>
      <c r="C35" s="65" t="s">
        <v>103</v>
      </c>
      <c r="D35" s="146">
        <v>1.0269999999999999</v>
      </c>
      <c r="F35"/>
    </row>
    <row r="36" spans="2:6" ht="15" hidden="1" x14ac:dyDescent="0.2">
      <c r="B36" s="64" t="s">
        <v>124</v>
      </c>
      <c r="C36" s="64" t="s">
        <v>94</v>
      </c>
      <c r="D36" s="146">
        <v>0.96699999999999997</v>
      </c>
      <c r="F36"/>
    </row>
    <row r="37" spans="2:6" ht="15" hidden="1" x14ac:dyDescent="0.2">
      <c r="B37" s="64" t="s">
        <v>125</v>
      </c>
      <c r="C37" s="64" t="s">
        <v>92</v>
      </c>
      <c r="D37" s="146">
        <v>1.004</v>
      </c>
      <c r="F37"/>
    </row>
    <row r="38" spans="2:6" ht="15" hidden="1" x14ac:dyDescent="0.2">
      <c r="B38" s="64" t="s">
        <v>126</v>
      </c>
      <c r="C38" s="65" t="s">
        <v>127</v>
      </c>
      <c r="D38" s="146">
        <v>1.0149999999999999</v>
      </c>
      <c r="F38"/>
    </row>
    <row r="39" spans="2:6" ht="15" hidden="1" x14ac:dyDescent="0.2">
      <c r="B39" s="64" t="s">
        <v>128</v>
      </c>
      <c r="C39" s="64" t="s">
        <v>94</v>
      </c>
      <c r="D39" s="146">
        <v>0.96699999999999997</v>
      </c>
      <c r="F39"/>
    </row>
    <row r="40" spans="2:6" ht="15" hidden="1" x14ac:dyDescent="0.2">
      <c r="B40" s="64" t="s">
        <v>129</v>
      </c>
      <c r="C40" s="65" t="s">
        <v>92</v>
      </c>
      <c r="D40" s="146">
        <v>1.004</v>
      </c>
      <c r="F40"/>
    </row>
    <row r="41" spans="2:6" ht="15" hidden="1" x14ac:dyDescent="0.2">
      <c r="B41" s="64" t="s">
        <v>130</v>
      </c>
      <c r="C41" s="65" t="s">
        <v>90</v>
      </c>
      <c r="D41" s="146">
        <v>0.99</v>
      </c>
      <c r="F41"/>
    </row>
    <row r="42" spans="2:6" ht="15" hidden="1" x14ac:dyDescent="0.2">
      <c r="B42" s="64" t="s">
        <v>131</v>
      </c>
      <c r="C42" s="65" t="s">
        <v>99</v>
      </c>
      <c r="D42" s="146">
        <v>0.98599999999999999</v>
      </c>
      <c r="F42"/>
    </row>
    <row r="43" spans="2:6" ht="15" hidden="1" x14ac:dyDescent="0.2">
      <c r="B43" s="64" t="s">
        <v>132</v>
      </c>
      <c r="C43" s="65" t="s">
        <v>90</v>
      </c>
      <c r="D43" s="146">
        <v>0.99</v>
      </c>
      <c r="F43"/>
    </row>
    <row r="44" spans="2:6" ht="15" hidden="1" x14ac:dyDescent="0.2">
      <c r="B44" s="64" t="s">
        <v>133</v>
      </c>
      <c r="C44" s="65" t="s">
        <v>99</v>
      </c>
      <c r="D44" s="146">
        <v>0.98599999999999999</v>
      </c>
      <c r="F44"/>
    </row>
    <row r="45" spans="2:6" ht="15" hidden="1" x14ac:dyDescent="0.2">
      <c r="B45" s="64" t="s">
        <v>134</v>
      </c>
      <c r="C45" s="64" t="s">
        <v>94</v>
      </c>
      <c r="D45" s="146">
        <v>0.96699999999999997</v>
      </c>
      <c r="F45"/>
    </row>
    <row r="46" spans="2:6" ht="15" hidden="1" x14ac:dyDescent="0.2">
      <c r="B46" s="64" t="s">
        <v>135</v>
      </c>
      <c r="C46" s="65" t="s">
        <v>90</v>
      </c>
      <c r="D46" s="146">
        <v>0.99</v>
      </c>
      <c r="F46"/>
    </row>
    <row r="47" spans="2:6" ht="15" hidden="1" x14ac:dyDescent="0.2">
      <c r="B47" s="64" t="s">
        <v>136</v>
      </c>
      <c r="C47" s="65" t="s">
        <v>99</v>
      </c>
      <c r="D47" s="146">
        <v>0.98599999999999999</v>
      </c>
      <c r="F47"/>
    </row>
    <row r="48" spans="2:6" ht="15" hidden="1" x14ac:dyDescent="0.2">
      <c r="B48" s="64" t="s">
        <v>137</v>
      </c>
      <c r="C48" s="65" t="s">
        <v>90</v>
      </c>
      <c r="D48" s="146">
        <v>0.99</v>
      </c>
      <c r="F48"/>
    </row>
    <row r="49" spans="2:6" ht="15" hidden="1" x14ac:dyDescent="0.2">
      <c r="B49" s="64" t="s">
        <v>138</v>
      </c>
      <c r="C49" s="64" t="s">
        <v>94</v>
      </c>
      <c r="D49" s="146">
        <v>0.96699999999999997</v>
      </c>
      <c r="F49"/>
    </row>
    <row r="50" spans="2:6" ht="15" hidden="1" x14ac:dyDescent="0.2">
      <c r="B50" s="64" t="s">
        <v>139</v>
      </c>
      <c r="C50" s="65" t="s">
        <v>92</v>
      </c>
      <c r="D50" s="146">
        <v>1.004</v>
      </c>
      <c r="F50"/>
    </row>
    <row r="51" spans="2:6" ht="15" hidden="1" x14ac:dyDescent="0.2">
      <c r="B51" s="64" t="s">
        <v>140</v>
      </c>
      <c r="C51" s="65" t="s">
        <v>99</v>
      </c>
      <c r="D51" s="146">
        <v>0.98599999999999999</v>
      </c>
      <c r="F51"/>
    </row>
    <row r="52" spans="2:6" ht="15" hidden="1" x14ac:dyDescent="0.2">
      <c r="B52" s="64" t="s">
        <v>141</v>
      </c>
      <c r="C52" s="65" t="s">
        <v>99</v>
      </c>
      <c r="D52" s="146">
        <v>0.98599999999999999</v>
      </c>
      <c r="F52"/>
    </row>
    <row r="53" spans="2:6" ht="15" hidden="1" x14ac:dyDescent="0.2">
      <c r="B53" s="64" t="s">
        <v>142</v>
      </c>
      <c r="C53" s="65" t="s">
        <v>99</v>
      </c>
      <c r="D53" s="146">
        <v>0.98599999999999999</v>
      </c>
      <c r="F53"/>
    </row>
    <row r="54" spans="2:6" ht="15" hidden="1" x14ac:dyDescent="0.2">
      <c r="B54" s="64" t="s">
        <v>143</v>
      </c>
      <c r="C54" s="64" t="s">
        <v>94</v>
      </c>
      <c r="D54" s="146">
        <v>0.96699999999999997</v>
      </c>
      <c r="F54"/>
    </row>
    <row r="55" spans="2:6" ht="15" hidden="1" x14ac:dyDescent="0.2">
      <c r="B55" s="64" t="s">
        <v>144</v>
      </c>
      <c r="C55" s="64" t="s">
        <v>94</v>
      </c>
      <c r="D55" s="146">
        <v>0.96699999999999997</v>
      </c>
      <c r="F55"/>
    </row>
    <row r="56" spans="2:6" ht="15" hidden="1" x14ac:dyDescent="0.2">
      <c r="B56" s="64" t="s">
        <v>145</v>
      </c>
      <c r="C56" s="65" t="s">
        <v>103</v>
      </c>
      <c r="D56" s="146">
        <v>1.0269999999999999</v>
      </c>
      <c r="F56"/>
    </row>
    <row r="57" spans="2:6" ht="15" hidden="1" x14ac:dyDescent="0.2">
      <c r="B57" s="64" t="s">
        <v>146</v>
      </c>
      <c r="C57" s="65" t="s">
        <v>99</v>
      </c>
      <c r="D57" s="146">
        <v>0.98599999999999999</v>
      </c>
      <c r="F57"/>
    </row>
    <row r="58" spans="2:6" ht="15" hidden="1" x14ac:dyDescent="0.2">
      <c r="B58" s="64" t="s">
        <v>147</v>
      </c>
      <c r="C58" s="65" t="s">
        <v>92</v>
      </c>
      <c r="D58" s="146">
        <v>1.004</v>
      </c>
      <c r="F58"/>
    </row>
    <row r="59" spans="2:6" ht="15" hidden="1" x14ac:dyDescent="0.2">
      <c r="B59" s="64" t="s">
        <v>148</v>
      </c>
      <c r="C59" s="64" t="s">
        <v>94</v>
      </c>
      <c r="D59" s="146">
        <v>0.96699999999999997</v>
      </c>
      <c r="F59"/>
    </row>
    <row r="60" spans="2:6" ht="15" hidden="1" x14ac:dyDescent="0.2">
      <c r="B60" s="64" t="s">
        <v>149</v>
      </c>
      <c r="C60" s="65" t="s">
        <v>103</v>
      </c>
      <c r="D60" s="146">
        <v>1.0269999999999999</v>
      </c>
      <c r="F60"/>
    </row>
    <row r="61" spans="2:6" ht="15" hidden="1" x14ac:dyDescent="0.2">
      <c r="B61" s="64" t="s">
        <v>150</v>
      </c>
      <c r="C61" s="65" t="s">
        <v>99</v>
      </c>
      <c r="D61" s="146">
        <v>0.98599999999999999</v>
      </c>
      <c r="F61"/>
    </row>
    <row r="62" spans="2:6" ht="15" hidden="1" x14ac:dyDescent="0.2">
      <c r="B62" s="64" t="s">
        <v>151</v>
      </c>
      <c r="C62" s="65" t="s">
        <v>101</v>
      </c>
      <c r="D62" s="146">
        <v>1.022</v>
      </c>
      <c r="F62"/>
    </row>
    <row r="63" spans="2:6" ht="15" hidden="1" x14ac:dyDescent="0.2">
      <c r="B63" s="64" t="s">
        <v>152</v>
      </c>
      <c r="C63" s="65" t="s">
        <v>99</v>
      </c>
      <c r="D63" s="146">
        <v>0.98599999999999999</v>
      </c>
      <c r="F63"/>
    </row>
    <row r="64" spans="2:6" ht="15" hidden="1" x14ac:dyDescent="0.2">
      <c r="B64" s="64" t="s">
        <v>153</v>
      </c>
      <c r="C64" s="64" t="s">
        <v>94</v>
      </c>
      <c r="D64" s="146">
        <v>0.96699999999999997</v>
      </c>
      <c r="F64"/>
    </row>
    <row r="65" spans="2:6" ht="15" hidden="1" x14ac:dyDescent="0.2">
      <c r="B65" s="64" t="s">
        <v>154</v>
      </c>
      <c r="C65" s="65" t="s">
        <v>118</v>
      </c>
      <c r="D65" s="146">
        <v>1.0029999999999999</v>
      </c>
      <c r="F65"/>
    </row>
    <row r="66" spans="2:6" ht="15" hidden="1" x14ac:dyDescent="0.2">
      <c r="B66" s="64" t="s">
        <v>155</v>
      </c>
      <c r="C66" s="64" t="s">
        <v>94</v>
      </c>
      <c r="D66" s="146">
        <v>0.96699999999999997</v>
      </c>
      <c r="F66"/>
    </row>
    <row r="67" spans="2:6" ht="15" hidden="1" x14ac:dyDescent="0.2">
      <c r="B67" s="64" t="s">
        <v>156</v>
      </c>
      <c r="C67" s="64" t="s">
        <v>94</v>
      </c>
      <c r="D67" s="146">
        <v>0.96699999999999997</v>
      </c>
      <c r="F67"/>
    </row>
    <row r="68" spans="2:6" ht="15" hidden="1" x14ac:dyDescent="0.2">
      <c r="B68" s="64" t="s">
        <v>157</v>
      </c>
      <c r="C68" s="65" t="s">
        <v>90</v>
      </c>
      <c r="D68" s="146">
        <v>0.99</v>
      </c>
      <c r="F68"/>
    </row>
    <row r="69" spans="2:6" ht="15" hidden="1" x14ac:dyDescent="0.2">
      <c r="B69" s="64" t="s">
        <v>158</v>
      </c>
      <c r="C69" s="65" t="s">
        <v>99</v>
      </c>
      <c r="D69" s="146">
        <v>0.98599999999999999</v>
      </c>
      <c r="F69"/>
    </row>
    <row r="70" spans="2:6" ht="15" hidden="1" x14ac:dyDescent="0.2">
      <c r="B70" s="64" t="s">
        <v>159</v>
      </c>
      <c r="C70" s="65" t="s">
        <v>160</v>
      </c>
      <c r="D70" s="146">
        <v>1.0249999999999999</v>
      </c>
      <c r="F70"/>
    </row>
    <row r="71" spans="2:6" ht="15" hidden="1" x14ac:dyDescent="0.2">
      <c r="B71" s="64" t="s">
        <v>161</v>
      </c>
      <c r="C71" s="64" t="s">
        <v>94</v>
      </c>
      <c r="D71" s="146">
        <v>0.96699999999999997</v>
      </c>
      <c r="F71"/>
    </row>
    <row r="72" spans="2:6" ht="15" hidden="1" x14ac:dyDescent="0.2">
      <c r="B72" s="64" t="s">
        <v>162</v>
      </c>
      <c r="C72" s="64" t="s">
        <v>92</v>
      </c>
      <c r="D72" s="146">
        <v>1.004</v>
      </c>
      <c r="F72"/>
    </row>
    <row r="73" spans="2:6" ht="15" hidden="1" x14ac:dyDescent="0.2">
      <c r="B73" s="64" t="s">
        <v>163</v>
      </c>
      <c r="C73" s="64" t="s">
        <v>94</v>
      </c>
      <c r="D73" s="146">
        <v>0.96699999999999997</v>
      </c>
      <c r="F73"/>
    </row>
    <row r="74" spans="2:6" ht="15" hidden="1" x14ac:dyDescent="0.2">
      <c r="B74" s="64" t="s">
        <v>164</v>
      </c>
      <c r="C74" s="65" t="s">
        <v>99</v>
      </c>
      <c r="D74" s="146">
        <v>0.98599999999999999</v>
      </c>
      <c r="F74"/>
    </row>
    <row r="75" spans="2:6" ht="15" hidden="1" x14ac:dyDescent="0.2">
      <c r="B75" s="64" t="s">
        <v>165</v>
      </c>
      <c r="C75" s="65" t="s">
        <v>99</v>
      </c>
      <c r="D75" s="146">
        <v>0.98599999999999999</v>
      </c>
      <c r="F75"/>
    </row>
    <row r="76" spans="2:6" ht="15" hidden="1" x14ac:dyDescent="0.2">
      <c r="B76" s="64" t="s">
        <v>166</v>
      </c>
      <c r="C76" s="65" t="s">
        <v>103</v>
      </c>
      <c r="D76" s="146">
        <v>1.0269999999999999</v>
      </c>
      <c r="F76"/>
    </row>
    <row r="77" spans="2:6" ht="15" hidden="1" x14ac:dyDescent="0.2">
      <c r="B77" s="64" t="s">
        <v>167</v>
      </c>
      <c r="C77" s="65" t="s">
        <v>99</v>
      </c>
      <c r="D77" s="146">
        <v>0.98599999999999999</v>
      </c>
      <c r="F77"/>
    </row>
    <row r="78" spans="2:6" ht="15" hidden="1" x14ac:dyDescent="0.2">
      <c r="B78" s="64" t="s">
        <v>168</v>
      </c>
      <c r="C78" s="64" t="s">
        <v>94</v>
      </c>
      <c r="D78" s="146">
        <v>0.96699999999999997</v>
      </c>
      <c r="F78"/>
    </row>
    <row r="79" spans="2:6" ht="15" hidden="1" x14ac:dyDescent="0.2">
      <c r="B79" s="64" t="s">
        <v>169</v>
      </c>
      <c r="C79" s="65" t="s">
        <v>105</v>
      </c>
      <c r="D79" s="146">
        <v>0.96499999999999997</v>
      </c>
      <c r="F79"/>
    </row>
    <row r="80" spans="2:6" ht="15" hidden="1" x14ac:dyDescent="0.2">
      <c r="B80" s="64" t="s">
        <v>170</v>
      </c>
      <c r="C80" s="64" t="s">
        <v>92</v>
      </c>
      <c r="D80" s="146">
        <v>1.004</v>
      </c>
      <c r="F80"/>
    </row>
    <row r="81" spans="2:6" ht="15" hidden="1" x14ac:dyDescent="0.2">
      <c r="B81" s="64" t="s">
        <v>171</v>
      </c>
      <c r="C81" s="65" t="s">
        <v>92</v>
      </c>
      <c r="D81" s="146">
        <v>1.004</v>
      </c>
      <c r="F81"/>
    </row>
    <row r="82" spans="2:6" ht="15" hidden="1" x14ac:dyDescent="0.2">
      <c r="B82" s="64" t="s">
        <v>172</v>
      </c>
      <c r="C82" s="65" t="s">
        <v>92</v>
      </c>
      <c r="D82" s="146">
        <v>1.004</v>
      </c>
      <c r="F82"/>
    </row>
    <row r="83" spans="2:6" ht="15" hidden="1" x14ac:dyDescent="0.2">
      <c r="B83" s="64" t="s">
        <v>173</v>
      </c>
      <c r="C83" s="65" t="s">
        <v>97</v>
      </c>
      <c r="D83" s="146">
        <v>1.0169999999999999</v>
      </c>
      <c r="F83"/>
    </row>
    <row r="84" spans="2:6" ht="15" hidden="1" x14ac:dyDescent="0.2">
      <c r="B84" s="64" t="s">
        <v>174</v>
      </c>
      <c r="C84" s="65" t="s">
        <v>103</v>
      </c>
      <c r="D84" s="146">
        <v>1.0269999999999999</v>
      </c>
      <c r="F84"/>
    </row>
    <row r="85" spans="2:6" ht="15" hidden="1" x14ac:dyDescent="0.2">
      <c r="B85" s="64" t="s">
        <v>175</v>
      </c>
      <c r="C85" s="64" t="s">
        <v>94</v>
      </c>
      <c r="D85" s="146">
        <v>0.96699999999999997</v>
      </c>
      <c r="F85"/>
    </row>
    <row r="86" spans="2:6" ht="15" hidden="1" x14ac:dyDescent="0.2">
      <c r="B86" s="64" t="s">
        <v>176</v>
      </c>
      <c r="C86" s="65" t="s">
        <v>99</v>
      </c>
      <c r="D86" s="146">
        <v>0.98599999999999999</v>
      </c>
      <c r="F86"/>
    </row>
    <row r="87" spans="2:6" ht="15" hidden="1" x14ac:dyDescent="0.2">
      <c r="B87" s="64" t="s">
        <v>177</v>
      </c>
      <c r="C87" s="64" t="s">
        <v>94</v>
      </c>
      <c r="D87" s="146">
        <v>0.96699999999999997</v>
      </c>
      <c r="F87"/>
    </row>
    <row r="88" spans="2:6" ht="15" hidden="1" x14ac:dyDescent="0.2">
      <c r="B88" s="64" t="s">
        <v>178</v>
      </c>
      <c r="C88" s="64" t="s">
        <v>94</v>
      </c>
      <c r="D88" s="146">
        <v>0.96699999999999997</v>
      </c>
      <c r="F88"/>
    </row>
    <row r="89" spans="2:6" ht="15" hidden="1" x14ac:dyDescent="0.2">
      <c r="B89" s="64" t="s">
        <v>179</v>
      </c>
      <c r="C89" s="65" t="s">
        <v>118</v>
      </c>
      <c r="D89" s="146">
        <v>1.0029999999999999</v>
      </c>
      <c r="F89"/>
    </row>
    <row r="90" spans="2:6" ht="15" hidden="1" x14ac:dyDescent="0.2">
      <c r="B90" s="64" t="s">
        <v>180</v>
      </c>
      <c r="C90" s="64" t="s">
        <v>94</v>
      </c>
      <c r="D90" s="146">
        <v>0.96699999999999997</v>
      </c>
      <c r="F90"/>
    </row>
    <row r="91" spans="2:6" ht="15" hidden="1" x14ac:dyDescent="0.2">
      <c r="B91" s="64" t="s">
        <v>181</v>
      </c>
      <c r="C91" s="65" t="s">
        <v>103</v>
      </c>
      <c r="D91" s="146">
        <v>1.0269999999999999</v>
      </c>
      <c r="F91"/>
    </row>
    <row r="92" spans="2:6" ht="15" hidden="1" x14ac:dyDescent="0.2">
      <c r="B92" s="64" t="s">
        <v>182</v>
      </c>
      <c r="C92" s="64" t="s">
        <v>92</v>
      </c>
      <c r="D92" s="146">
        <v>1.004</v>
      </c>
      <c r="F92"/>
    </row>
    <row r="93" spans="2:6" ht="15" hidden="1" x14ac:dyDescent="0.2">
      <c r="B93" s="64" t="s">
        <v>183</v>
      </c>
      <c r="C93" s="65" t="s">
        <v>103</v>
      </c>
      <c r="D93" s="146">
        <v>1.0269999999999999</v>
      </c>
      <c r="F93"/>
    </row>
    <row r="94" spans="2:6" ht="15" hidden="1" x14ac:dyDescent="0.2">
      <c r="B94" s="64" t="s">
        <v>184</v>
      </c>
      <c r="C94" s="64" t="s">
        <v>94</v>
      </c>
      <c r="D94" s="146">
        <v>0.96699999999999997</v>
      </c>
      <c r="F94"/>
    </row>
    <row r="95" spans="2:6" ht="15" hidden="1" x14ac:dyDescent="0.2">
      <c r="B95" s="64" t="s">
        <v>185</v>
      </c>
      <c r="C95" s="65" t="s">
        <v>103</v>
      </c>
      <c r="D95" s="146">
        <v>1.0269999999999999</v>
      </c>
      <c r="F95"/>
    </row>
    <row r="96" spans="2:6" ht="15" hidden="1" x14ac:dyDescent="0.2">
      <c r="B96" s="64" t="s">
        <v>186</v>
      </c>
      <c r="C96" s="65" t="s">
        <v>92</v>
      </c>
      <c r="D96" s="146">
        <v>1.004</v>
      </c>
      <c r="F96"/>
    </row>
    <row r="97" spans="2:6" ht="17.25" hidden="1" customHeight="1" x14ac:dyDescent="0.2">
      <c r="B97" s="88" t="s">
        <v>187</v>
      </c>
      <c r="C97" s="89" t="s">
        <v>99</v>
      </c>
      <c r="D97" s="147">
        <v>0.98599999999999999</v>
      </c>
      <c r="F97"/>
    </row>
    <row r="98" spans="2:6" hidden="1" x14ac:dyDescent="0.2">
      <c r="B98" s="90" t="s">
        <v>188</v>
      </c>
      <c r="C98" s="90" t="s">
        <v>94</v>
      </c>
      <c r="D98" s="148">
        <v>0.96699999999999997</v>
      </c>
    </row>
    <row r="99" spans="2:6" hidden="1" x14ac:dyDescent="0.2">
      <c r="B99" s="90" t="s">
        <v>189</v>
      </c>
      <c r="C99" s="90" t="s">
        <v>94</v>
      </c>
      <c r="D99" s="148">
        <v>0.96699999999999997</v>
      </c>
    </row>
    <row r="100" spans="2:6" hidden="1" x14ac:dyDescent="0.2">
      <c r="B100" s="90" t="s">
        <v>190</v>
      </c>
      <c r="C100" s="90" t="s">
        <v>99</v>
      </c>
      <c r="D100" s="148">
        <v>0.98599999999999999</v>
      </c>
    </row>
    <row r="101" spans="2:6" hidden="1" x14ac:dyDescent="0.2">
      <c r="B101" s="90" t="s">
        <v>191</v>
      </c>
      <c r="C101" s="90" t="s">
        <v>92</v>
      </c>
      <c r="D101" s="148">
        <v>1.004</v>
      </c>
    </row>
    <row r="102" spans="2:6" hidden="1" x14ac:dyDescent="0.2">
      <c r="B102" s="90" t="s">
        <v>192</v>
      </c>
      <c r="C102" s="90" t="s">
        <v>99</v>
      </c>
      <c r="D102" s="148">
        <v>0.98599999999999999</v>
      </c>
    </row>
    <row r="103" spans="2:6" hidden="1" x14ac:dyDescent="0.2">
      <c r="B103" s="90" t="s">
        <v>193</v>
      </c>
      <c r="C103" s="90" t="s">
        <v>92</v>
      </c>
      <c r="D103" s="148">
        <v>1.004</v>
      </c>
    </row>
    <row r="104" spans="2:6" hidden="1" x14ac:dyDescent="0.2">
      <c r="B104" s="90" t="s">
        <v>194</v>
      </c>
      <c r="C104" s="90" t="s">
        <v>90</v>
      </c>
      <c r="D104" s="149">
        <v>0.99</v>
      </c>
    </row>
    <row r="105" spans="2:6" hidden="1" x14ac:dyDescent="0.2">
      <c r="B105" s="90" t="s">
        <v>195</v>
      </c>
      <c r="C105" s="90" t="s">
        <v>105</v>
      </c>
      <c r="D105" s="148">
        <v>0.96499999999999997</v>
      </c>
    </row>
    <row r="106" spans="2:6" hidden="1" x14ac:dyDescent="0.2">
      <c r="B106" s="90" t="s">
        <v>196</v>
      </c>
      <c r="C106" s="90" t="s">
        <v>94</v>
      </c>
      <c r="D106" s="149">
        <v>0.96699999999999997</v>
      </c>
    </row>
    <row r="107" spans="2:6" hidden="1" x14ac:dyDescent="0.2">
      <c r="B107" s="90" t="s">
        <v>197</v>
      </c>
      <c r="C107" s="90" t="s">
        <v>90</v>
      </c>
      <c r="D107" s="149">
        <v>0.99</v>
      </c>
    </row>
    <row r="108" spans="2:6" hidden="1" x14ac:dyDescent="0.2">
      <c r="B108" s="90" t="s">
        <v>198</v>
      </c>
      <c r="C108" s="90" t="s">
        <v>103</v>
      </c>
      <c r="D108" s="148">
        <v>1.0269999999999999</v>
      </c>
    </row>
  </sheetData>
  <sheetProtection algorithmName="SHA-512" hashValue="4axPMaDHjSA2lgl+ZLAGsDzuKnSqJXK2oDbQl6N3gHqkR9YWnYJePR9UgVfW+pImeSElEKu8fvpffHDpiJVCHA==" saltValue="QzDCyO9IGIjuc2yDcAXDPg=="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125" workbookViewId="0">
      <selection activeCell="A3" sqref="A3"/>
    </sheetView>
  </sheetViews>
  <sheetFormatPr defaultColWidth="9.140625" defaultRowHeight="12.75" x14ac:dyDescent="0.2"/>
  <cols>
    <col min="1" max="1" width="37.85546875" style="25" customWidth="1"/>
    <col min="2" max="2" width="20.7109375" style="25" bestFit="1" customWidth="1"/>
    <col min="3" max="3" width="14.140625" style="75" customWidth="1"/>
    <col min="4" max="4" width="16" style="75" customWidth="1"/>
    <col min="5" max="5" width="14.140625" style="75" customWidth="1"/>
    <col min="6" max="6" width="11.28515625" style="75" bestFit="1" customWidth="1"/>
    <col min="7" max="7" width="9.140625" style="75"/>
    <col min="8" max="16384" width="9.140625" style="25"/>
  </cols>
  <sheetData>
    <row r="1" spans="1:6" ht="15" x14ac:dyDescent="0.2">
      <c r="A1" s="24" t="s">
        <v>228</v>
      </c>
      <c r="C1" s="74"/>
      <c r="D1" s="74"/>
      <c r="E1" s="74"/>
      <c r="F1" s="74"/>
    </row>
    <row r="2" spans="1:6" x14ac:dyDescent="0.2">
      <c r="A2" s="26"/>
      <c r="B2" s="26"/>
      <c r="E2" s="74"/>
      <c r="F2" s="74"/>
    </row>
    <row r="3" spans="1:6" x14ac:dyDescent="0.2">
      <c r="A3" s="27" t="s">
        <v>199</v>
      </c>
      <c r="B3" s="23"/>
      <c r="C3" s="74"/>
      <c r="D3" s="76" t="s">
        <v>200</v>
      </c>
      <c r="E3" s="74"/>
      <c r="F3" s="74"/>
    </row>
    <row r="4" spans="1:6" x14ac:dyDescent="0.2">
      <c r="A4" s="43" t="s">
        <v>201</v>
      </c>
      <c r="B4" s="16">
        <f>'Direct Staffing'!C34</f>
        <v>1.0289183536450002</v>
      </c>
      <c r="D4" s="77">
        <f>B4</f>
        <v>1.0289183536450002</v>
      </c>
      <c r="E4" s="74"/>
      <c r="F4" s="74"/>
    </row>
    <row r="5" spans="1:6" x14ac:dyDescent="0.2">
      <c r="A5" s="26"/>
      <c r="B5" s="26"/>
      <c r="E5" s="74"/>
      <c r="F5" s="74"/>
    </row>
    <row r="6" spans="1:6" x14ac:dyDescent="0.2">
      <c r="A6" s="27" t="s">
        <v>202</v>
      </c>
      <c r="B6" s="23"/>
      <c r="C6" s="74"/>
      <c r="D6" s="74"/>
      <c r="E6" s="74"/>
      <c r="F6" s="74"/>
    </row>
    <row r="7" spans="1:6" x14ac:dyDescent="0.2">
      <c r="A7" s="43" t="s">
        <v>203</v>
      </c>
      <c r="B7" s="112">
        <f>'Program Plan Support'!C9</f>
        <v>5.6000000000000001E-2</v>
      </c>
      <c r="D7" s="77">
        <f>ROUND(B7*D4,4)</f>
        <v>5.7599999999999998E-2</v>
      </c>
      <c r="E7" s="74"/>
      <c r="F7" s="74"/>
    </row>
    <row r="8" spans="1:6" x14ac:dyDescent="0.2">
      <c r="A8" s="26"/>
      <c r="B8" s="26"/>
      <c r="E8" s="74"/>
      <c r="F8" s="74"/>
    </row>
    <row r="9" spans="1:6" x14ac:dyDescent="0.2">
      <c r="A9" s="27" t="s">
        <v>204</v>
      </c>
      <c r="B9" s="23"/>
      <c r="C9" s="74"/>
      <c r="D9" s="74"/>
      <c r="E9" s="74"/>
      <c r="F9" s="74"/>
    </row>
    <row r="10" spans="1:6" x14ac:dyDescent="0.2">
      <c r="A10" s="43" t="s">
        <v>205</v>
      </c>
      <c r="B10" s="113">
        <f>'Emp. Related Exp.'!C19</f>
        <v>0.23599999999999999</v>
      </c>
      <c r="C10" s="77"/>
      <c r="D10" s="77">
        <f>ROUND(B10*(D4+D7),4)</f>
        <v>0.25640000000000002</v>
      </c>
      <c r="E10" s="74"/>
      <c r="F10" s="74"/>
    </row>
    <row r="11" spans="1:6" ht="16.5" customHeight="1" x14ac:dyDescent="0.2">
      <c r="A11" s="26"/>
      <c r="B11" s="26"/>
      <c r="E11" s="74"/>
      <c r="F11" s="74"/>
    </row>
    <row r="12" spans="1:6" x14ac:dyDescent="0.2">
      <c r="A12" s="27" t="s">
        <v>60</v>
      </c>
      <c r="B12" s="23"/>
      <c r="C12" s="74"/>
      <c r="D12" s="74"/>
      <c r="E12" s="74"/>
      <c r="F12" s="74"/>
    </row>
    <row r="13" spans="1:6" x14ac:dyDescent="0.2">
      <c r="A13" s="28" t="s">
        <v>206</v>
      </c>
      <c r="B13" s="144">
        <f>'Client Programming &amp; Supports'!C9</f>
        <v>0.109</v>
      </c>
      <c r="D13" s="78">
        <f>ROUND((D4+D7+D10)*B13,4)</f>
        <v>0.1464</v>
      </c>
      <c r="E13" s="74"/>
      <c r="F13" s="74"/>
    </row>
    <row r="14" spans="1:6" x14ac:dyDescent="0.2">
      <c r="A14" s="26"/>
      <c r="B14" s="26"/>
      <c r="E14" s="74"/>
      <c r="F14" s="74"/>
    </row>
    <row r="15" spans="1:6" x14ac:dyDescent="0.2">
      <c r="A15" s="27" t="s">
        <v>68</v>
      </c>
      <c r="B15" s="23"/>
      <c r="C15" s="74"/>
      <c r="D15" s="74"/>
      <c r="E15" s="74"/>
      <c r="F15" s="74"/>
    </row>
    <row r="16" spans="1:6" x14ac:dyDescent="0.2">
      <c r="A16" s="28" t="s">
        <v>207</v>
      </c>
      <c r="B16" s="145">
        <f>'Program Facility'!C5</f>
        <v>0.20799999999999999</v>
      </c>
      <c r="D16" s="78">
        <f>B16</f>
        <v>0.20799999999999999</v>
      </c>
      <c r="E16" s="74"/>
      <c r="F16" s="74"/>
    </row>
    <row r="17" spans="1:8" x14ac:dyDescent="0.2">
      <c r="A17" s="26"/>
      <c r="B17" s="26"/>
      <c r="E17" s="74"/>
      <c r="F17" s="74"/>
    </row>
    <row r="18" spans="1:8" x14ac:dyDescent="0.2">
      <c r="A18" s="27" t="s">
        <v>208</v>
      </c>
      <c r="B18" s="23"/>
      <c r="C18" s="74"/>
      <c r="D18" s="74"/>
      <c r="E18" s="74"/>
      <c r="F18" s="74"/>
    </row>
    <row r="19" spans="1:8" x14ac:dyDescent="0.2">
      <c r="A19" s="43" t="s">
        <v>209</v>
      </c>
      <c r="B19" s="114">
        <f>'Program Related Expenses'!E8</f>
        <v>0.2445</v>
      </c>
      <c r="C19" s="77"/>
      <c r="D19" s="77">
        <f>E19-(D4+D7+D10+D13+D16)</f>
        <v>0.54928164635499965</v>
      </c>
      <c r="E19" s="87">
        <f>ROUND((D4+D7+D10+D13+D16)/(1-B19),4)</f>
        <v>2.2465999999999999</v>
      </c>
      <c r="F19" s="74"/>
      <c r="G19" s="80"/>
    </row>
    <row r="20" spans="1:8" x14ac:dyDescent="0.2">
      <c r="A20" s="115"/>
      <c r="B20" s="116"/>
      <c r="C20" s="77"/>
      <c r="D20" s="77"/>
      <c r="E20" s="74"/>
      <c r="F20" s="74"/>
    </row>
    <row r="21" spans="1:8" x14ac:dyDescent="0.2">
      <c r="A21" s="27" t="s">
        <v>210</v>
      </c>
      <c r="B21" s="117"/>
      <c r="C21" s="77"/>
      <c r="D21" s="77"/>
      <c r="E21" s="74"/>
      <c r="F21" s="74"/>
    </row>
    <row r="22" spans="1:8" x14ac:dyDescent="0.2">
      <c r="A22" s="39" t="s">
        <v>211</v>
      </c>
      <c r="B22" s="118" t="str">
        <f>'Regional Variance Factor'!B7</f>
        <v>-</v>
      </c>
      <c r="D22" s="81" t="str">
        <f>IF((B22&lt;&gt;"-"),((E19*B22)-E19),"Select County")</f>
        <v>Select County</v>
      </c>
      <c r="E22" s="74"/>
      <c r="F22" s="74"/>
      <c r="G22" s="79"/>
    </row>
    <row r="23" spans="1:8" x14ac:dyDescent="0.2">
      <c r="A23" s="61"/>
      <c r="B23" s="73"/>
      <c r="E23" s="74"/>
      <c r="F23" s="74"/>
    </row>
    <row r="24" spans="1:8" x14ac:dyDescent="0.2">
      <c r="A24" s="30" t="s">
        <v>212</v>
      </c>
      <c r="B24" s="111" t="str">
        <f>D24</f>
        <v>Select County</v>
      </c>
      <c r="D24" s="78" t="str">
        <f>IF((B22&lt;&gt;"-"),E19+D22,"Select County")</f>
        <v>Select County</v>
      </c>
      <c r="E24" s="74"/>
      <c r="F24" s="74"/>
    </row>
    <row r="25" spans="1:8" ht="15.6" customHeight="1" x14ac:dyDescent="0.2">
      <c r="A25" s="70"/>
      <c r="B25" s="119"/>
      <c r="D25" s="78"/>
      <c r="E25" s="74"/>
      <c r="F25" s="74"/>
      <c r="H25" s="71"/>
    </row>
    <row r="26" spans="1:8" s="95" customFormat="1" hidden="1" x14ac:dyDescent="0.2">
      <c r="A26" s="91" t="s">
        <v>213</v>
      </c>
      <c r="B26" s="120">
        <v>1</v>
      </c>
      <c r="C26" s="92"/>
      <c r="D26" s="92"/>
      <c r="E26" s="92"/>
      <c r="F26" s="92"/>
      <c r="G26" s="93"/>
      <c r="H26" s="94"/>
    </row>
    <row r="27" spans="1:8" s="95" customFormat="1" hidden="1" x14ac:dyDescent="0.2">
      <c r="A27" s="96" t="s">
        <v>214</v>
      </c>
      <c r="B27" s="97" t="str">
        <f>IF((B22&lt;&gt;"-"),G29,"-")</f>
        <v>-</v>
      </c>
      <c r="C27" s="92"/>
      <c r="D27" s="98"/>
      <c r="E27" s="92"/>
      <c r="F27" s="92"/>
      <c r="G27" s="99">
        <f>B26</f>
        <v>1</v>
      </c>
      <c r="H27" s="94"/>
    </row>
    <row r="28" spans="1:8" s="95" customFormat="1" hidden="1" x14ac:dyDescent="0.2">
      <c r="A28" s="100"/>
      <c r="B28" s="101"/>
      <c r="C28" s="92"/>
      <c r="D28" s="102"/>
      <c r="E28" s="103"/>
      <c r="F28" s="103"/>
      <c r="G28" s="93">
        <f>1-G27</f>
        <v>0</v>
      </c>
      <c r="H28" s="94"/>
    </row>
    <row r="29" spans="1:8" x14ac:dyDescent="0.2">
      <c r="A29" s="27" t="s">
        <v>215</v>
      </c>
      <c r="G29" s="82" t="e">
        <f>((B24+B22)*G27)-(B24+B22)</f>
        <v>#VALUE!</v>
      </c>
      <c r="H29" s="71"/>
    </row>
    <row r="30" spans="1:8" x14ac:dyDescent="0.2">
      <c r="A30" s="39" t="s">
        <v>216</v>
      </c>
      <c r="B30" s="29" t="str">
        <f>IF((B22&lt;&gt;"-"),B24+B27,"County")</f>
        <v>County</v>
      </c>
      <c r="H30" s="72"/>
    </row>
    <row r="32" spans="1:8" hidden="1" x14ac:dyDescent="0.2">
      <c r="A32" s="27" t="s">
        <v>217</v>
      </c>
      <c r="B32" s="117">
        <v>0.01</v>
      </c>
    </row>
    <row r="33" spans="1:2" hidden="1" x14ac:dyDescent="0.2">
      <c r="A33" s="39" t="s">
        <v>218</v>
      </c>
      <c r="B33" s="29" t="str">
        <f>IF((B22&lt;&gt;"-"),B32*B30,"-")</f>
        <v>-</v>
      </c>
    </row>
    <row r="34" spans="1:2" hidden="1" x14ac:dyDescent="0.2"/>
    <row r="35" spans="1:2" hidden="1" x14ac:dyDescent="0.2">
      <c r="A35" s="27" t="s">
        <v>219</v>
      </c>
    </row>
    <row r="36" spans="1:2" hidden="1" x14ac:dyDescent="0.2">
      <c r="A36" s="39" t="s">
        <v>220</v>
      </c>
      <c r="B36" s="29" t="str">
        <f>IF(B22&lt;&gt;"-",B33+B30,"-")</f>
        <v>-</v>
      </c>
    </row>
    <row r="37" spans="1:2" hidden="1" x14ac:dyDescent="0.2"/>
    <row r="38" spans="1:2" hidden="1" x14ac:dyDescent="0.2">
      <c r="A38" s="27" t="s">
        <v>221</v>
      </c>
      <c r="B38" s="117">
        <v>0.05</v>
      </c>
    </row>
    <row r="39" spans="1:2" hidden="1" x14ac:dyDescent="0.2">
      <c r="A39" s="39" t="s">
        <v>218</v>
      </c>
      <c r="B39" s="29" t="str">
        <f>IF(B22&lt;&gt;"-",B38*B36,"-")</f>
        <v>-</v>
      </c>
    </row>
    <row r="40" spans="1:2" hidden="1" x14ac:dyDescent="0.2"/>
    <row r="41" spans="1:2" hidden="1" x14ac:dyDescent="0.2">
      <c r="A41" s="27" t="s">
        <v>222</v>
      </c>
    </row>
    <row r="42" spans="1:2" hidden="1" x14ac:dyDescent="0.2">
      <c r="A42" s="39" t="s">
        <v>220</v>
      </c>
      <c r="B42" s="29" t="str">
        <f>IF(B22&lt;&gt;"-",B39+B36,"-")</f>
        <v>-</v>
      </c>
    </row>
    <row r="43" spans="1:2" hidden="1" x14ac:dyDescent="0.2"/>
    <row r="44" spans="1:2" hidden="1" x14ac:dyDescent="0.2">
      <c r="A44" s="27" t="s">
        <v>223</v>
      </c>
      <c r="B44" s="117">
        <v>0.01</v>
      </c>
    </row>
    <row r="45" spans="1:2" hidden="1" x14ac:dyDescent="0.2">
      <c r="A45" s="39" t="s">
        <v>218</v>
      </c>
      <c r="B45" s="29" t="str">
        <f>IF(B22&lt;&gt;"-",B44*B42,"-")</f>
        <v>-</v>
      </c>
    </row>
    <row r="46" spans="1:2" hidden="1" x14ac:dyDescent="0.2"/>
    <row r="47" spans="1:2" hidden="1" x14ac:dyDescent="0.2">
      <c r="A47" s="27" t="s">
        <v>224</v>
      </c>
    </row>
    <row r="48" spans="1:2" hidden="1" x14ac:dyDescent="0.2">
      <c r="A48" s="39" t="s">
        <v>220</v>
      </c>
      <c r="B48" s="29" t="str">
        <f>IF(B22&lt;&gt;"-",B45+B42,"Select County")</f>
        <v>Select County</v>
      </c>
    </row>
  </sheetData>
  <sheetProtection algorithmName="SHA-512" hashValue="oT0/y8AGzmXxMbQpuA3qLOCUI/ZbR74bIJViSFepUuMikLo5h91IpWMafW2dbF02sa50gyWAACXDdHdvB7Wzzg==" saltValue="vNZgyEvE+ZgOfu7KfnqRKQ==" spinCount="100000" sheet="1" objects="1" scenarios="1"/>
  <phoneticPr fontId="2" type="noConversion"/>
  <dataValidations xWindow="448" yWindow="650" count="22">
    <dataValidation allowBlank="1" showInputMessage="1" showErrorMessage="1" prompt="Staffing Costs per Unit formula is equal Total Individual Staffing Amount from Direct Staffing sheet" sqref="B4"/>
    <dataValidation allowBlank="1" showInputMessage="1" showErrorMessage="1" prompt="Cost for Staffing per Unit Rate Calculation formula is equal to Staffing Cost per Unit"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Unit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Unit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dataValidation allowBlank="1" showInputMessage="1" showErrorMessage="1" prompt="Program Facility Cost formula is equal to Quarter Hour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dataValidation allowBlank="1" showInputMessage="1" showErrorMessage="1" prompt="Unit Rate formula is equal to Total Unit Rate" sqref="B24:B25"/>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D25 D28"/>
    <dataValidation allowBlank="1" showInputMessage="1" showErrorMessage="1" prompt="Budget Neutrality Rate" sqref="B26 B21"/>
    <dataValidation allowBlank="1" showInputMessage="1" showErrorMessage="1" prompt="Unit Budget Neutrality formula is Total Unit Rate minus Unit Rate" sqref="B27:B28"/>
    <dataValidation allowBlank="1" showInputMessage="1" showErrorMessage="1" prompt="Post COLA Rate formula is Original Rate plus Cost of Living Adjustment" sqref="B36 B42 B48"/>
    <dataValidation allowBlank="1" showInputMessage="1" showErrorMessage="1" prompt="4/1/2014 COLA Increase " sqref="B32 B38 B44"/>
    <dataValidation allowBlank="1" showInputMessage="1" showErrorMessage="1" prompt="Cost of Living Adjustment formula is Original Total Unit Rate multiplied by COLA" sqref="B45 B33 B39"/>
    <dataValidation allowBlank="1" showInputMessage="1" showErrorMessage="1" prompt="Total Unit Rate formula is Budget Neutrality Rate times Unit Rate " sqref="B30"/>
    <dataValidation allowBlank="1" showInputMessage="1" showErrorMessage="1" prompt="Unit Regional Variance formula is Unit Rate times Regional Variance Factor" sqref="B23"/>
    <dataValidation allowBlank="1" showInputMessage="1" showErrorMessage="1" prompt="Unit Regional Variance formula is Unit Rate multiplied by the appropriate Regional Variance Factor" sqref="B22"/>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workbookViewId="0">
      <selection activeCell="A2" sqref="A2:XFD8"/>
    </sheetView>
  </sheetViews>
  <sheetFormatPr defaultRowHeight="12.75" x14ac:dyDescent="0.2"/>
  <cols>
    <col min="2" max="2" width="51.42578125" style="62" customWidth="1"/>
  </cols>
  <sheetData>
    <row r="2" spans="1:3" ht="21.6" hidden="1" customHeight="1" x14ac:dyDescent="0.2">
      <c r="A2" s="106">
        <v>43831</v>
      </c>
      <c r="B2" s="104" t="s">
        <v>231</v>
      </c>
      <c r="C2" s="107" t="s">
        <v>225</v>
      </c>
    </row>
    <row r="3" spans="1:3" hidden="1" x14ac:dyDescent="0.2">
      <c r="A3" s="121">
        <v>43831</v>
      </c>
      <c r="B3" s="122" t="s">
        <v>232</v>
      </c>
      <c r="C3" s="123" t="s">
        <v>230</v>
      </c>
    </row>
    <row r="4" spans="1:3" hidden="1" x14ac:dyDescent="0.2">
      <c r="A4" s="106">
        <v>44197</v>
      </c>
      <c r="B4" s="105"/>
      <c r="C4" s="123" t="s">
        <v>256</v>
      </c>
    </row>
    <row r="5" spans="1:3" hidden="1" x14ac:dyDescent="0.2">
      <c r="A5" s="106">
        <v>44287</v>
      </c>
      <c r="B5" s="105" t="s">
        <v>257</v>
      </c>
      <c r="C5" s="123" t="s">
        <v>258</v>
      </c>
    </row>
    <row r="6" spans="1:3" s="104" customFormat="1" hidden="1" x14ac:dyDescent="0.2">
      <c r="A6" s="106">
        <v>43831</v>
      </c>
      <c r="B6" s="107" t="s">
        <v>229</v>
      </c>
      <c r="C6" s="107" t="s">
        <v>225</v>
      </c>
    </row>
    <row r="7" spans="1:3" ht="76.5" hidden="1" x14ac:dyDescent="0.2">
      <c r="A7" s="106">
        <v>44562</v>
      </c>
      <c r="B7" s="105" t="s">
        <v>259</v>
      </c>
      <c r="C7" s="104" t="s">
        <v>260</v>
      </c>
    </row>
    <row r="8" spans="1:3" hidden="1" x14ac:dyDescent="0.2">
      <c r="A8" s="106">
        <v>44720</v>
      </c>
      <c r="B8" s="105" t="s">
        <v>261</v>
      </c>
      <c r="C8" s="104" t="s">
        <v>262</v>
      </c>
    </row>
    <row r="9" spans="1:3" x14ac:dyDescent="0.2">
      <c r="A9" s="104"/>
      <c r="B9" s="105"/>
      <c r="C9" s="104"/>
    </row>
    <row r="10" spans="1:3" x14ac:dyDescent="0.2">
      <c r="A10" s="104"/>
      <c r="B10" s="105"/>
      <c r="C10" s="104"/>
    </row>
    <row r="11" spans="1:3" x14ac:dyDescent="0.2">
      <c r="A11" s="104"/>
      <c r="B11" s="105"/>
      <c r="C11" s="104"/>
    </row>
    <row r="12" spans="1:3" x14ac:dyDescent="0.2">
      <c r="A12" s="104"/>
      <c r="B12" s="105"/>
      <c r="C12" s="104"/>
    </row>
    <row r="13" spans="1:3" x14ac:dyDescent="0.2">
      <c r="A13" s="104"/>
      <c r="B13" s="105"/>
      <c r="C13" s="104"/>
    </row>
    <row r="14" spans="1:3" x14ac:dyDescent="0.2">
      <c r="A14" s="104"/>
      <c r="B14" s="105"/>
      <c r="C14" s="104"/>
    </row>
    <row r="15" spans="1:3" x14ac:dyDescent="0.2">
      <c r="A15" s="104"/>
      <c r="B15" s="105"/>
      <c r="C15" s="104"/>
    </row>
  </sheetData>
  <sheetProtection algorithmName="SHA-512" hashValue="JgvRucPzEktCm5quPuHKZIyhfurg3sd7Lmfh9bQw10sD0iqRcSD+B5f8E4XKrJ1e5BZ7mgzGt4xpkVPMjSFtBA==" saltValue="dPqm2cgHjrW/dCNkB/AP2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S2EJPDAADAY4-1521811817-557</_dlc_DocId>
    <_dlc_DocIdUrl xmlns="0cdeeaad-74a8-4021-893f-c7b31297a14c">
      <Url>https://workplace/cc/MnSPA/_layouts/15/DocIdRedir.aspx?ID=S2EJPDAADAY4-1521811817-557</Url>
      <Description>S2EJPDAADAY4-1521811817-557</Description>
    </_dlc_DocIdUrl>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7D3504-5751-48FF-8DD9-9166D110719C}">
  <ds:schemaRefs>
    <ds:schemaRef ds:uri="http://schemas.microsoft.com/sharepoint/events"/>
  </ds:schemaRefs>
</ds:datastoreItem>
</file>

<file path=customXml/itemProps2.xml><?xml version="1.0" encoding="utf-8"?>
<ds:datastoreItem xmlns:ds="http://schemas.openxmlformats.org/officeDocument/2006/customXml" ds:itemID="{A047D9E1-5BCC-4A3A-B501-280A7137648F}">
  <ds:schemaRefs>
    <ds:schemaRef ds:uri="http://purl.org/dc/elements/1.1/"/>
    <ds:schemaRef ds:uri="http://schemas.microsoft.com/office/2006/metadata/properties"/>
    <ds:schemaRef ds:uri="http://purl.org/dc/terms/"/>
    <ds:schemaRef ds:uri="39dc04e4-1dc7-4207-b25c-d7db9724c689"/>
    <ds:schemaRef ds:uri="http://schemas.microsoft.com/office/2006/documentManagement/types"/>
    <ds:schemaRef ds:uri="http://schemas.microsoft.com/office/infopath/2007/PartnerControls"/>
    <ds:schemaRef ds:uri="http://schemas.openxmlformats.org/package/2006/metadata/core-properties"/>
    <ds:schemaRef ds:uri="0cdeeaad-74a8-4021-893f-c7b31297a14c"/>
    <ds:schemaRef ds:uri="http://www.w3.org/XML/1998/namespace"/>
    <ds:schemaRef ds:uri="http://purl.org/dc/dcmitype/"/>
  </ds:schemaRefs>
</ds:datastoreItem>
</file>

<file path=customXml/itemProps3.xml><?xml version="1.0" encoding="utf-8"?>
<ds:datastoreItem xmlns:ds="http://schemas.openxmlformats.org/officeDocument/2006/customXml" ds:itemID="{6DC436EB-6F86-4513-8F04-178B765891C9}">
  <ds:schemaRefs>
    <ds:schemaRef ds:uri="http://schemas.microsoft.com/office/2006/metadata/longProperties"/>
  </ds:schemaRefs>
</ds:datastoreItem>
</file>

<file path=customXml/itemProps4.xml><?xml version="1.0" encoding="utf-8"?>
<ds:datastoreItem xmlns:ds="http://schemas.openxmlformats.org/officeDocument/2006/customXml" ds:itemID="{EE43ED88-2F3D-4F41-B38C-DD69FA1119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A39521A-E1FA-4444-B041-9C24C3B7B3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Prevoc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Prevocational 15Min v16</dc:title>
  <dc:subject/>
  <dc:creator>pwmfb67</dc:creator>
  <cp:keywords/>
  <dc:description/>
  <cp:lastModifiedBy>Sherpa, Tashi</cp:lastModifiedBy>
  <cp:revision/>
  <dcterms:created xsi:type="dcterms:W3CDTF">2009-10-20T14:58:44Z</dcterms:created>
  <dcterms:modified xsi:type="dcterms:W3CDTF">2022-06-28T13:35:52Z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S2EJPDAADAY4-1521811817-557</vt:lpwstr>
  </property>
  <property fmtid="{D5CDD505-2E9C-101B-9397-08002B2CF9AE}" pid="8" name="_dlc_DocIdItemGuid">
    <vt:lpwstr>17f5f572-b4ca-41b4-99a4-4cc6bb6a1ddd</vt:lpwstr>
  </property>
  <property fmtid="{D5CDD505-2E9C-101B-9397-08002B2CF9AE}" pid="9" name="_dlc_DocIdUrl">
    <vt:lpwstr>https://workplace/cc/MnSPA/_layouts/15/DocIdRedir.aspx?ID=S2EJPDAADAY4-1521811817-557, S2EJPDAADAY4-1521811817-557</vt:lpwstr>
  </property>
</Properties>
</file>