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wbar27\Desktop\"/>
    </mc:Choice>
  </mc:AlternateContent>
  <xr:revisionPtr revIDLastSave="0" documentId="8_{1F00477E-4BDA-490F-BF3E-F5865F97FCAC}" xr6:coauthVersionLast="47" xr6:coauthVersionMax="47" xr10:uidLastSave="{00000000-0000-0000-0000-000000000000}"/>
  <bookViews>
    <workbookView xWindow="-110" yWindow="-110" windowWidth="19420" windowHeight="10420" tabRatio="834" xr2:uid="{00000000-000D-0000-FFFF-FFFF00000000}"/>
  </bookViews>
  <sheets>
    <sheet name="D1. Member Months" sheetId="1" r:id="rId1"/>
    <sheet name="D2.S Services in Waiver Cost" sheetId="2" r:id="rId2"/>
    <sheet name="D2.A Admin in Waiver Cost" sheetId="8" r:id="rId3"/>
    <sheet name="D3. Actual Waiver Cost" sheetId="3" r:id="rId4"/>
    <sheet name="D4. Adjustments in Projection" sheetId="4" r:id="rId5"/>
    <sheet name="D5. Waiver Cost Projection" sheetId="5" r:id="rId6"/>
    <sheet name="D6. RO Targets" sheetId="6" r:id="rId7"/>
    <sheet name="D7. Summary" sheetId="7" r:id="rId8"/>
  </sheets>
  <definedNames>
    <definedName name="_AMO_ContentDefinition_199710060" hidden="1">"'Partitions:12'"</definedName>
    <definedName name="_AMO_ContentDefinition_199710060.0" hidden="1">"'&lt;ContentDefinition name=""S:\Mary\George Adhocs\2020\MSC\_1915bfinal.sas7bdat"" rsid=""199710060"" type=""DataSet"" format=""ReportXml"" imgfmt=""ActiveX"" created=""11/24/2020 12:46:25"" modifed=""11/24/2020 12:46:25"" user=""Wagner, Mary Kay"" ap'"</definedName>
    <definedName name="_AMO_ContentDefinition_199710060.1" hidden="1">"'ply=""False"" css=""C:\Program Files (x86)\SASHome\x86\SASAddinforMicrosoftOffice\7.1\Styles\AMODefault.css"" range=""S__Mary_George_Adhocs_2020_MSC___2"" auto=""False"" xTime=""00:00:00.0156005"" rTime=""00:00:00.8580275"" bgnew=""False"" nFmt=""Fa'"</definedName>
    <definedName name="_AMO_ContentDefinition_199710060.10" hidden="1">"'ount"" v=""59"" /&gt;_x000D_
  &lt;param n=""DataRowCount"" v=""59"" /&gt;_x000D_
  &lt;param n=""DataColCount"" v=""5"" /&gt;_x000D_
  &lt;param n=""ObsColumn"" v=""true"" /&gt;_x000D_
  &lt;param n=""ExcelFormattingHash"" v=""4501801"" /&gt;_x000D_
  &lt;param n=""ExcelFormatting"" v=""Automatic"" /&gt;_x000D_
  &lt;Exc'"</definedName>
    <definedName name="_AMO_ContentDefinition_199710060.11" hidden="1">"'elXMLOptions AdjColWidths=""True"" RowOpt=""InsertCells"" ColOpt=""InsertCells"" /&gt;_x000D_
&lt;/ContentDefinition&gt;'"</definedName>
    <definedName name="_AMO_ContentDefinition_199710060.2" hidden="1">"'lse"" grphSet=""True"" imgY=""0"" imgX=""0"" redirect=""False""&gt;_x000D_
  &lt;files /&gt;_x000D_
  &lt;parents /&gt;_x000D_
  &lt;children /&gt;_x000D_
  &lt;param n=""AMO_Version"" v=""7.1"" /&gt;_x000D_
  &lt;param n=""DisplayName"" v=""S:\Mary\George Adhocs\2020\MSC\_1915bfinal.sas7bdat"" /&gt;_x000D_
  &lt;param'"</definedName>
    <definedName name="_AMO_ContentDefinition_199710060.3" hidden="1">"' n=""DisplayType"" v=""Data Set"" /&gt;_x000D_
  &lt;param n=""DataSourceType"" v=""SAS DATASET"" /&gt;_x000D_
  &lt;param n=""SASFilter"" v="""" /&gt;_x000D_
  &lt;param n=""MoreSheetsForRows"" v=""False"" /&gt;_x000D_
  &lt;param n=""PageSize"" v=""2000"" /&gt;_x000D_
  &lt;param n=""ShowRowNumbers"" v=""T'"</definedName>
    <definedName name="_AMO_ContentDefinition_199710060.4" hidden="1">"'rue"" /&gt;_x000D_
  &lt;param n=""ShowInfoInSheet"" v=""False"" /&gt;_x000D_
  &lt;param n=""CredKey"" v=""S:\Mary\George Adhocs\2020\MSC\_1915bfinal.sas7bdat"" /&gt;_x000D_
  &lt;param n=""ClassName"" v=""SAS.OfficeAddin.DataViewItem"" /&gt;_x000D_
  &lt;param n=""ServerName"" v="""" /&gt;_x000D_
  &lt;par'"</definedName>
    <definedName name="_AMO_ContentDefinition_199710060.5" hidden="1">"'am n=""DataSource"" v=""&amp;lt;SasDataSource Version=&amp;quot;4.2&amp;quot; Type=&amp;quot;SAS.Servers.Dataset&amp;quot; FilterDS=&amp;quot;&amp;amp;lt;?xml version=&amp;amp;quot;1.0&amp;amp;quot; encoding=&amp;amp;quot;utf-16&amp;amp;quot;?&amp;amp;gt;&amp;amp;lt;FilterTree&amp;amp;gt;&amp;amp;lt;TreeRoot /'"</definedName>
    <definedName name="_AMO_ContentDefinition_199710060.6" hidden="1">"'&amp;amp;gt;&amp;amp;lt;/FilterTree&amp;amp;gt;&amp;quot; ColSelFlg=&amp;quot;0&amp;quot; DNA=&amp;quot;&amp;amp;lt;DNA&amp;amp;gt;&amp;amp;#xD;&amp;amp;#xA;  &amp;amp;lt;Type&amp;amp;gt;LocalFile&amp;amp;lt;/Type&amp;amp;gt;&amp;amp;#xD;&amp;amp;#xA;  &amp;amp;lt;Name&amp;amp;gt;_1915bfinal.sas7bdat&amp;amp;lt;/Name&amp;amp;gt;&amp;amp;'"</definedName>
    <definedName name="_AMO_ContentDefinition_199710060.7" hidden="1">"'#xD;&amp;amp;#xA;  &amp;amp;lt;Version&amp;amp;gt;1&amp;amp;lt;/Version&amp;amp;gt;&amp;amp;#xD;&amp;amp;#xA;  &amp;amp;lt;Assembly /&amp;amp;gt;&amp;amp;#xD;&amp;amp;#xA;  &amp;amp;lt;Factory /&amp;amp;gt;&amp;amp;#xD;&amp;amp;#xA;  &amp;amp;lt;ParentName&amp;amp;gt;MSC&amp;amp;lt;/ParentName&amp;amp;gt;&amp;amp;#xD;&amp;amp;#xA;  &amp;'"</definedName>
    <definedName name="_AMO_ContentDefinition_199710060.8" hidden="1">"'amp;lt;Delimiter&amp;amp;gt;\&amp;amp;lt;/Delimiter&amp;amp;gt;&amp;amp;#xD;&amp;amp;#xA;  &amp;amp;lt;FullPath&amp;amp;gt;S:\Mary\George Adhocs\2020\MSC\_1915bfinal.sas7bdat&amp;amp;lt;/FullPath&amp;amp;gt;&amp;amp;#xD;&amp;amp;#xA;  &amp;amp;lt;RelativePath&amp;amp;gt;S:\Mary\George Adhocs\2020\MSC\_'"</definedName>
    <definedName name="_AMO_ContentDefinition_199710060.9" hidden="1">"'1915bfinal.sas7bdat&amp;amp;lt;/RelativePath&amp;amp;gt;&amp;amp;#xD;&amp;amp;#xA;&amp;amp;lt;/DNA&amp;amp;gt;&amp;quot; Name=&amp;quot;S:\Mary\George Adhocs\2020\MSC\_1915bfinal.sas7bdat&amp;quot; /&amp;gt;"" /&gt;_x000D_
  &lt;param n=""ExcelTableColumnCount"" v=""6"" /&gt;_x000D_
  &lt;param n=""ExcelTableRowC'"</definedName>
    <definedName name="_AMO_ContentDefinition_580095337" hidden="1">"'Partitions:12'"</definedName>
    <definedName name="_AMO_ContentDefinition_580095337.0" hidden="1">"'&lt;ContentDefinition name=""S:\Mary\George Adhocs\2020\MSC\summary.sas7bdat"" rsid=""580095337"" type=""DataSet"" format=""ReportXml"" imgfmt=""ActiveX"" created=""11/24/2020 12:24:39"" modifed=""11/24/2020 12:24:39"" user=""Wagner, Mary Kay"" apply='"</definedName>
    <definedName name="_AMO_ContentDefinition_580095337.1" hidden="1">"'""False"" css=""C:\Program Files (x86)\SASHome\x86\SASAddinforMicrosoftOffice\7.1\Styles\AMODefault.css"" range=""S__Mary_George_Adhocs_2020_MSC_s_2"" auto=""False"" xTime=""00:00:00"" rTime=""00:00:01.9968640"" bgnew=""False"" nFmt=""False"" grph'"</definedName>
    <definedName name="_AMO_ContentDefinition_580095337.10" hidden="1">"'taRowCount"" v=""177"" /&gt;_x000D_
  &lt;param n=""DataColCount"" v=""7"" /&gt;_x000D_
  &lt;param n=""ObsColumn"" v=""true"" /&gt;_x000D_
  &lt;param n=""ExcelFormattingHash"" v=""-1549813838"" /&gt;_x000D_
  &lt;param n=""ExcelFormatting"" v=""Automatic"" /&gt;_x000D_
  &lt;ExcelXMLOptions AdjColWidths=""'"</definedName>
    <definedName name="_AMO_ContentDefinition_580095337.11" hidden="1">"'True"" RowOpt=""InsertCells"" ColOpt=""InsertCells"" /&gt;_x000D_
&lt;/ContentDefinition&gt;'"</definedName>
    <definedName name="_AMO_ContentDefinition_580095337.2" hidden="1">"'Set=""True"" imgY=""0"" imgX=""0"" redirect=""False""&gt;_x000D_
  &lt;files /&gt;_x000D_
  &lt;parents /&gt;_x000D_
  &lt;children /&gt;_x000D_
  &lt;param n=""AMO_Version"" v=""7.1"" /&gt;_x000D_
  &lt;param n=""DisplayName"" v=""S:\Mary\George Adhocs\2020\MSC\summary.sas7bdat"" /&gt;_x000D_
  &lt;param n=""DisplayTy'"</definedName>
    <definedName name="_AMO_ContentDefinition_580095337.3" hidden="1">"'pe"" v=""Data Set"" /&gt;_x000D_
  &lt;param n=""DataSourceType"" v=""SAS DATASET"" /&gt;_x000D_
  &lt;param n=""SASFilter"" v="""" /&gt;_x000D_
  &lt;param n=""MoreSheetsForRows"" v=""False"" /&gt;_x000D_
  &lt;param n=""PageSize"" v=""2000"" /&gt;_x000D_
  &lt;param n=""ShowRowNumbers"" v=""True"" /&gt;_x000D_
  &lt;p'"</definedName>
    <definedName name="_AMO_ContentDefinition_580095337.4" hidden="1">"'aram n=""ShowInfoInSheet"" v=""False"" /&gt;_x000D_
  &lt;param n=""CredKey"" v=""S:\Mary\George Adhocs\2020\MSC\summary.sas7bdat"" /&gt;_x000D_
  &lt;param n=""ClassName"" v=""SAS.OfficeAddin.DataViewItem"" /&gt;_x000D_
  &lt;param n=""ServerName"" v="""" /&gt;_x000D_
  &lt;param n=""DataSource""'"</definedName>
    <definedName name="_AMO_ContentDefinition_580095337.5" hidden="1">"' v=""&amp;lt;SasDataSource Version=&amp;quot;4.2&amp;quot; Type=&amp;quot;SAS.Servers.Dataset&amp;quot; FilterDS=&amp;quot;&amp;amp;lt;?xml version=&amp;amp;quot;1.0&amp;amp;quot; encoding=&amp;amp;quot;utf-16&amp;amp;quot;?&amp;amp;gt;&amp;amp;lt;FilterTree&amp;amp;gt;&amp;amp;lt;TreeRoot /&amp;amp;gt;&amp;amp;lt;/Fi'"</definedName>
    <definedName name="_AMO_ContentDefinition_580095337.6" hidden="1">"'lterTree&amp;amp;gt;&amp;quot; ColSelFlg=&amp;quot;0&amp;quot; DNA=&amp;quot;&amp;amp;lt;DNA&amp;amp;gt;&amp;amp;#xD;&amp;amp;#xA;  &amp;amp;lt;Type&amp;amp;gt;LocalFile&amp;amp;lt;/Type&amp;amp;gt;&amp;amp;#xD;&amp;amp;#xA;  &amp;amp;lt;Name&amp;amp;gt;summary.sas7bdat&amp;amp;lt;/Name&amp;amp;gt;&amp;amp;#xD;&amp;amp;#xA;  &amp;amp;lt;'"</definedName>
    <definedName name="_AMO_ContentDefinition_580095337.7" hidden="1">"'Version&amp;amp;gt;1&amp;amp;lt;/Version&amp;amp;gt;&amp;amp;#xD;&amp;amp;#xA;  &amp;amp;lt;Assembly /&amp;amp;gt;&amp;amp;#xD;&amp;amp;#xA;  &amp;amp;lt;Factory /&amp;amp;gt;&amp;amp;#xD;&amp;amp;#xA;  &amp;amp;lt;ParentName&amp;amp;gt;MSC&amp;amp;lt;/ParentName&amp;amp;gt;&amp;amp;#xD;&amp;amp;#xA;  &amp;amp;lt;Delimiter&amp;amp;gt'"</definedName>
    <definedName name="_AMO_ContentDefinition_580095337.8" hidden="1">"';\&amp;amp;lt;/Delimiter&amp;amp;gt;&amp;amp;#xD;&amp;amp;#xA;  &amp;amp;lt;FullPath&amp;amp;gt;S:\Mary\George Adhocs\2020\MSC\summary.sas7bdat&amp;amp;lt;/FullPath&amp;amp;gt;&amp;amp;#xD;&amp;amp;#xA;  &amp;amp;lt;RelativePath&amp;amp;gt;S:\Mary\George Adhocs\2020\MSC\summary.sas7bdat&amp;amp;lt;/Rel'"</definedName>
    <definedName name="_AMO_ContentDefinition_580095337.9" hidden="1">"'ativePath&amp;amp;gt;&amp;amp;#xD;&amp;amp;#xA;&amp;amp;lt;/DNA&amp;amp;gt;&amp;quot; Name=&amp;quot;S:\Mary\George Adhocs\2020\MSC\summary.sas7bdat&amp;quot; /&amp;gt;"" /&gt;_x000D_
  &lt;param n=""ExcelTableColumnCount"" v=""8"" /&gt;_x000D_
  &lt;param n=""ExcelTableRowCount"" v=""177"" /&gt;_x000D_
  &lt;param n=""Da'"</definedName>
    <definedName name="_AMO_ContentDefinition_933908263" hidden="1">"'Partitions:12'"</definedName>
    <definedName name="_AMO_ContentDefinition_933908263.0" hidden="1">"'&lt;ContentDefinition name=""S:\Mary\George Adhocs\2020\MSC\summary.sas7bdat"" rsid=""933908263"" type=""DataSet"" format=""ReportXml"" imgfmt=""ActiveX"" created=""11/20/2020 09:38:56"" modifed=""11/20/2020 09:38:56"" user=""Wagner, Mary Kay"" apply='"</definedName>
    <definedName name="_AMO_ContentDefinition_933908263.1" hidden="1">"'""False"" css=""C:\Program Files (x86)\SASHome\x86\SASAddinforMicrosoftOffice\7.1\Styles\AMODefault.css"" range=""S__Mary_George_Adhocs_2020_MSC_summary_sas7bdat"" auto=""False"" xTime=""00:00:00.0090009"" rTime=""00:00:02.6172617"" bgnew=""False"" '"</definedName>
    <definedName name="_AMO_ContentDefinition_933908263.10" hidden="1">"' /&gt;_x000D_
  &lt;param n=""DataRowCount"" v=""177"" /&gt;_x000D_
  &lt;param n=""DataColCount"" v=""5"" /&gt;_x000D_
  &lt;param n=""ObsColumn"" v=""true"" /&gt;_x000D_
  &lt;param n=""ExcelFormattingHash"" v=""1595113177"" /&gt;_x000D_
  &lt;param n=""ExcelFormatting"" v=""Automatic"" /&gt;_x000D_
  &lt;ExcelXMLOptio'"</definedName>
    <definedName name="_AMO_ContentDefinition_933908263.11" hidden="1">"'ns AdjColWidths=""True"" RowOpt=""InsertCells"" ColOpt=""InsertCells"" /&gt;_x000D_
&lt;/ContentDefinition&gt;'"</definedName>
    <definedName name="_AMO_ContentDefinition_933908263.2" hidden="1">"'nFmt=""False"" grphSet=""True"" imgY=""0"" imgX=""0"" redirect=""False""&gt;_x000D_
  &lt;files /&gt;_x000D_
  &lt;parents /&gt;_x000D_
  &lt;children /&gt;_x000D_
  &lt;param n=""AMO_Version"" v=""7.1"" /&gt;_x000D_
  &lt;param n=""DisplayName"" v=""S:\Mary\George Adhocs\2020\MSC\summary.sas7bdat"" /&gt;_x000D_
  &lt;p'"</definedName>
    <definedName name="_AMO_ContentDefinition_933908263.3" hidden="1">"'aram n=""DisplayType"" v=""Data Set"" /&gt;_x000D_
  &lt;param n=""DataSourceType"" v=""SAS DATASET"" /&gt;_x000D_
  &lt;param n=""SASFilter"" v="""" /&gt;_x000D_
  &lt;param n=""MoreSheetsForRows"" v=""False"" /&gt;_x000D_
  &lt;param n=""PageSize"" v=""2000"" /&gt;_x000D_
  &lt;param n=""ShowRowNumbers"" '"</definedName>
    <definedName name="_AMO_ContentDefinition_933908263.4" hidden="1">"'v=""True"" /&gt;_x000D_
  &lt;param n=""ShowInfoInSheet"" v=""False"" /&gt;_x000D_
  &lt;param n=""CredKey"" v=""S:\Mary\George Adhocs\2020\MSC\summary.sas7bdat"" /&gt;_x000D_
  &lt;param n=""ClassName"" v=""SAS.OfficeAddin.DataViewItem"" /&gt;_x000D_
  &lt;param n=""ServerName"" v="""" /&gt;_x000D_
  &lt;pa'"</definedName>
    <definedName name="_AMO_ContentDefinition_933908263.5" hidden="1">"'ram n=""DataSource"" v=""&amp;lt;SasDataSource Version=&amp;quot;4.2&amp;quot; Type=&amp;quot;SAS.Servers.Dataset&amp;quot; FilterDS=&amp;quot;&amp;amp;lt;?xml version=&amp;amp;quot;1.0&amp;amp;quot; encoding=&amp;amp;quot;utf-16&amp;amp;quot;?&amp;amp;gt;&amp;amp;lt;FilterTree&amp;amp;gt;&amp;amp;lt;TreeRoot '"</definedName>
    <definedName name="_AMO_ContentDefinition_933908263.6" hidden="1">"'/&amp;amp;gt;&amp;amp;lt;/FilterTree&amp;amp;gt;&amp;quot; ColSelFlg=&amp;quot;0&amp;quot; DNA=&amp;quot;&amp;amp;lt;DNA&amp;amp;gt;&amp;amp;#xD;&amp;amp;#xA;  &amp;amp;lt;Type&amp;amp;gt;LocalFile&amp;amp;lt;/Type&amp;amp;gt;&amp;amp;#xD;&amp;amp;#xA;  &amp;amp;lt;Name&amp;amp;gt;summary.sas7bdat&amp;amp;lt;/Name&amp;amp;gt;&amp;amp;#xD'"</definedName>
    <definedName name="_AMO_ContentDefinition_933908263.7" hidden="1">"';&amp;amp;#xA;  &amp;amp;lt;Version&amp;amp;gt;1&amp;amp;lt;/Version&amp;amp;gt;&amp;amp;#xD;&amp;amp;#xA;  &amp;amp;lt;Assembly /&amp;amp;gt;&amp;amp;#xD;&amp;amp;#xA;  &amp;amp;lt;Factory /&amp;amp;gt;&amp;amp;#xD;&amp;amp;#xA;  &amp;amp;lt;ParentName&amp;amp;gt;MSC&amp;amp;lt;/ParentName&amp;amp;gt;&amp;amp;#xD;&amp;amp;#xA;  &amp;amp'"</definedName>
    <definedName name="_AMO_ContentDefinition_933908263.8" hidden="1">"';lt;Delimiter&amp;amp;gt;\&amp;amp;lt;/Delimiter&amp;amp;gt;&amp;amp;#xD;&amp;amp;#xA;  &amp;amp;lt;FullPath&amp;amp;gt;S:\Mary\George Adhocs\2020\MSC\summary.sas7bdat&amp;amp;lt;/FullPath&amp;amp;gt;&amp;amp;#xD;&amp;amp;#xA;  &amp;amp;lt;RelativePath&amp;amp;gt;S:\Mary\George Adhocs\2020\MSC\summary.'"</definedName>
    <definedName name="_AMO_ContentDefinition_933908263.9" hidden="1">"'sas7bdat&amp;amp;lt;/RelativePath&amp;amp;gt;&amp;amp;#xD;&amp;amp;#xA;&amp;amp;lt;/DNA&amp;amp;gt;&amp;quot; Name=&amp;quot;S:\Mary\George Adhocs\2020\MSC\summary.sas7bdat&amp;quot; /&amp;gt;"" /&gt;_x000D_
  &lt;param n=""ExcelTableColumnCount"" v=""6"" /&gt;_x000D_
  &lt;param n=""ExcelTableRowCount"" v=""177""'"</definedName>
    <definedName name="_AMO_ContentLocation_199710060__A1" hidden="1">"'Partitions:2'"</definedName>
    <definedName name="_AMO_ContentLocation_199710060__A1.0" hidden="1">"'&lt;ContentLocation path=""A1"" rsid=""199710060"" tag="""" fid=""0""&gt;_x000D_
  &lt;param n=""_NumRows"" v=""60"" /&gt;_x000D_
  &lt;param n=""_NumCols"" v=""6"" /&gt;_x000D_
  &lt;param n=""SASDataState"" v=""none"" /&gt;_x000D_
  &lt;param n=""SASDataStart"" v=""1"" /&gt;_x000D_
  &lt;param n=""SASDataEnd'"</definedName>
    <definedName name="_AMO_ContentLocation_199710060__A1.1" hidden="1">"'"" v=""59"" /&gt;_x000D_
&lt;/ContentLocation&gt;'"</definedName>
    <definedName name="_AMO_ContentLocation_580095337__A1" hidden="1">"'Partitions:2'"</definedName>
    <definedName name="_AMO_ContentLocation_580095337__A1.0" hidden="1">"'&lt;ContentLocation path=""A1"" rsid=""580095337"" tag="""" fid=""0""&gt;_x000D_
  &lt;param n=""_NumRows"" v=""178"" /&gt;_x000D_
  &lt;param n=""_NumCols"" v=""8"" /&gt;_x000D_
  &lt;param n=""SASDataState"" v=""none"" /&gt;_x000D_
  &lt;param n=""SASDataStart"" v=""1"" /&gt;_x000D_
  &lt;param n=""SASDataEn'"</definedName>
    <definedName name="_AMO_ContentLocation_580095337__A1.1" hidden="1">"'d"" v=""177"" /&gt;_x000D_
&lt;/ContentLocation&gt;'"</definedName>
    <definedName name="_AMO_ContentLocation_933908263__A1" hidden="1">"'Partitions:2'"</definedName>
    <definedName name="_AMO_ContentLocation_933908263__A1.0" hidden="1">"'&lt;ContentLocation path=""A1"" rsid=""933908263"" tag="""" fid=""0""&gt;_x000D_
  &lt;param n=""_NumRows"" v=""178"" /&gt;_x000D_
  &lt;param n=""_NumCols"" v=""6"" /&gt;_x000D_
  &lt;param n=""SASDataState"" v=""none"" /&gt;_x000D_
  &lt;param n=""SASDataStart"" v=""1"" /&gt;_x000D_
  &lt;param n=""SASDataEn'"</definedName>
    <definedName name="_AMO_ContentLocation_933908263__A1.1" hidden="1">"'d"" v=""177"" /&gt;_x000D_
&lt;/ContentLocation&gt;'"</definedName>
    <definedName name="_AMO_XmlVersion" hidden="1">"'1'"</definedName>
    <definedName name="_xlnm.Print_Area" localSheetId="1">'D2.S Services in Waiver Cost'!$A$1:$N$42</definedName>
    <definedName name="_xlnm.Print_Area" localSheetId="3">'D3. Actual Waiver Cost'!$A$1:$O$42</definedName>
    <definedName name="_xlnm.Print_Area" localSheetId="5">'D5. Waiver Cost Projection'!$A$1:$AB$78</definedName>
    <definedName name="_xlnm.Print_Area" localSheetId="6">'D6. RO Targets'!$A$1:$AI$115</definedName>
    <definedName name="_xlnm.Print_Area" localSheetId="7">'D7. Summary'!$A$1:$N$118</definedName>
    <definedName name="_xlnm.Print_Titles" localSheetId="1">'D2.S Services in Waiver Cost'!$A:$D,'D2.S Services in Waiver Cost'!$1:$1</definedName>
    <definedName name="_xlnm.Print_Titles" localSheetId="3">'D3. Actual Waiver Cost'!$A:$C,'D3. Actual Waiver Cost'!$1:$3</definedName>
    <definedName name="_xlnm.Print_Titles" localSheetId="5">'D5. Waiver Cost Projection'!$A:$B,'D5. Waiver Cost Projection'!$1:$3</definedName>
    <definedName name="_xlnm.Print_Titles" localSheetId="6">'D6. RO Targets'!$1:$3</definedName>
    <definedName name="_xlnm.Print_Titles" localSheetId="7">'D7. Summary'!$A:$C,'D7. Summary'!$1:$3</definedName>
    <definedName name="Z_12599F2F_0B91_11D7_BEB7_000629BE218C_.wvu.PrintArea" localSheetId="5" hidden="1">'D5. Waiver Cost Projection'!$A$1:$AB$36</definedName>
    <definedName name="Z_2CDD54E7_0D43_43D8_97AB_3E3C5310036F_.wvu.PrintArea" localSheetId="1" hidden="1">'D2.S Services in Waiver Cost'!$A$1:$N$52</definedName>
    <definedName name="Z_2CDD54E7_0D43_43D8_97AB_3E3C5310036F_.wvu.PrintArea" localSheetId="3" hidden="1">'D3. Actual Waiver Cost'!$A$1:$O$42</definedName>
    <definedName name="Z_2CDD54E7_0D43_43D8_97AB_3E3C5310036F_.wvu.PrintArea" localSheetId="5" hidden="1">'D5. Waiver Cost Projection'!$A$1:$AB$38</definedName>
    <definedName name="Z_2CDD54E7_0D43_43D8_97AB_3E3C5310036F_.wvu.PrintArea" localSheetId="7" hidden="1">'D7. Summary'!$A$1:$Q$60</definedName>
    <definedName name="Z_2CDD54E7_0D43_43D8_97AB_3E3C5310036F_.wvu.PrintTitles" localSheetId="1" hidden="1">'D2.S Services in Waiver Cost'!$A:$D,'D2.S Services in Waiver Cost'!$1:$1</definedName>
    <definedName name="Z_2CDD54E7_0D43_43D8_97AB_3E3C5310036F_.wvu.PrintTitles" localSheetId="3" hidden="1">'D3. Actual Waiver Cost'!$A:$C,'D3. Actual Waiver Cost'!$1:$3</definedName>
    <definedName name="Z_2CDD54E7_0D43_43D8_97AB_3E3C5310036F_.wvu.PrintTitles" localSheetId="5" hidden="1">'D5. Waiver Cost Projection'!$A:$B,'D5. Waiver Cost Projection'!$1:$3</definedName>
    <definedName name="Z_2CDD54E7_0D43_43D8_97AB_3E3C5310036F_.wvu.PrintTitles" localSheetId="6" hidden="1">'D6. RO Targets'!$A:$C,'D6. RO Targets'!$1:$3</definedName>
    <definedName name="Z_2CDD54E7_0D43_43D8_97AB_3E3C5310036F_.wvu.PrintTitles" localSheetId="7" hidden="1">'D7. Summary'!$A:$C,'D7. Summary'!$1:$3</definedName>
    <definedName name="Z_7D0B3912_65FA_42B8_B35F_0FF40989CBC0_.wvu.PrintArea" localSheetId="1" hidden="1">'D2.S Services in Waiver Cost'!$A$1:$N$52</definedName>
    <definedName name="Z_7D0B3912_65FA_42B8_B35F_0FF40989CBC0_.wvu.PrintArea" localSheetId="3" hidden="1">'D3. Actual Waiver Cost'!$A$1:$O$42</definedName>
    <definedName name="Z_7D0B3912_65FA_42B8_B35F_0FF40989CBC0_.wvu.PrintArea" localSheetId="5" hidden="1">'D5. Waiver Cost Projection'!$A$1:$AB$38</definedName>
    <definedName name="Z_7D0B3912_65FA_42B8_B35F_0FF40989CBC0_.wvu.PrintArea" localSheetId="7" hidden="1">'D7. Summary'!$A$1:$Q$60</definedName>
    <definedName name="Z_7D0B3912_65FA_42B8_B35F_0FF40989CBC0_.wvu.PrintTitles" localSheetId="1" hidden="1">'D2.S Services in Waiver Cost'!$A:$D,'D2.S Services in Waiver Cost'!$1:$1</definedName>
    <definedName name="Z_7D0B3912_65FA_42B8_B35F_0FF40989CBC0_.wvu.PrintTitles" localSheetId="3" hidden="1">'D3. Actual Waiver Cost'!$A:$C,'D3. Actual Waiver Cost'!$1:$3</definedName>
    <definedName name="Z_7D0B3912_65FA_42B8_B35F_0FF40989CBC0_.wvu.PrintTitles" localSheetId="5" hidden="1">'D5. Waiver Cost Projection'!$A:$B,'D5. Waiver Cost Projection'!$1:$3</definedName>
    <definedName name="Z_7D0B3912_65FA_42B8_B35F_0FF40989CBC0_.wvu.PrintTitles" localSheetId="6" hidden="1">'D6. RO Targets'!$A:$C,'D6. RO Targets'!$1:$3</definedName>
    <definedName name="Z_7D0B3912_65FA_42B8_B35F_0FF40989CBC0_.wvu.PrintTitles" localSheetId="7" hidden="1">'D7. Summary'!$A:$C,'D7. Summary'!$1:$3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16" i="5" l="1"/>
  <c r="M31" i="1" l="1"/>
  <c r="H31" i="1"/>
  <c r="C31" i="1"/>
  <c r="J9" i="1"/>
  <c r="E9" i="1"/>
  <c r="Y15" i="5" l="1"/>
  <c r="Y14" i="5"/>
  <c r="Y13" i="5"/>
  <c r="F9" i="1" l="1"/>
  <c r="G9" i="1" s="1"/>
  <c r="D9" i="1" l="1"/>
  <c r="C9" i="1"/>
  <c r="K9" i="1"/>
  <c r="M9" i="1" l="1"/>
  <c r="L9" i="1"/>
  <c r="H9" i="1"/>
  <c r="Q14" i="1" l="1"/>
  <c r="Q13" i="1"/>
  <c r="Q12" i="1"/>
  <c r="Q11" i="1"/>
  <c r="Q10" i="1"/>
  <c r="U108" i="6"/>
  <c r="AG108" i="6" s="1"/>
  <c r="U86" i="6"/>
  <c r="AG86" i="6"/>
  <c r="U64" i="6"/>
  <c r="AG64" i="6" s="1"/>
  <c r="I31" i="1"/>
  <c r="J31" i="1" s="1"/>
  <c r="N31" i="1"/>
  <c r="O31" i="1" s="1"/>
  <c r="D31" i="1"/>
  <c r="E31" i="1" s="1"/>
  <c r="S104" i="6"/>
  <c r="Q104" i="6"/>
  <c r="S82" i="6"/>
  <c r="Q82" i="6"/>
  <c r="S60" i="6"/>
  <c r="Q60" i="6"/>
  <c r="L112" i="6"/>
  <c r="I112" i="6"/>
  <c r="F112" i="6"/>
  <c r="C112" i="6"/>
  <c r="L90" i="6"/>
  <c r="I90" i="6"/>
  <c r="F90" i="6"/>
  <c r="C90" i="6"/>
  <c r="L68" i="6"/>
  <c r="I68" i="6"/>
  <c r="F68" i="6"/>
  <c r="C68" i="6"/>
  <c r="AI113" i="6"/>
  <c r="AF113" i="6"/>
  <c r="AC113" i="6"/>
  <c r="Z113" i="6"/>
  <c r="AI112" i="6"/>
  <c r="AF112" i="6"/>
  <c r="AC112" i="6"/>
  <c r="Z112" i="6"/>
  <c r="AI111" i="6"/>
  <c r="AF111" i="6"/>
  <c r="AC111" i="6"/>
  <c r="Z111" i="6"/>
  <c r="AI110" i="6"/>
  <c r="AF110" i="6"/>
  <c r="AC110" i="6"/>
  <c r="Z110" i="6"/>
  <c r="AI109" i="6"/>
  <c r="AF109" i="6"/>
  <c r="AC109" i="6"/>
  <c r="Z109" i="6"/>
  <c r="V104" i="6"/>
  <c r="V94" i="6"/>
  <c r="AI91" i="6"/>
  <c r="AF91" i="6"/>
  <c r="AC91" i="6"/>
  <c r="Z91" i="6"/>
  <c r="AI90" i="6"/>
  <c r="AF90" i="6"/>
  <c r="AC90" i="6"/>
  <c r="Z90" i="6"/>
  <c r="AI89" i="6"/>
  <c r="AF89" i="6"/>
  <c r="AC89" i="6"/>
  <c r="Z89" i="6"/>
  <c r="AI88" i="6"/>
  <c r="AF88" i="6"/>
  <c r="AC88" i="6"/>
  <c r="Z88" i="6"/>
  <c r="AI87" i="6"/>
  <c r="AF87" i="6"/>
  <c r="AC87" i="6"/>
  <c r="Z87" i="6"/>
  <c r="V82" i="6"/>
  <c r="V72" i="6"/>
  <c r="AI69" i="6"/>
  <c r="AF69" i="6"/>
  <c r="AC69" i="6"/>
  <c r="Z69" i="6"/>
  <c r="AI68" i="6"/>
  <c r="AF68" i="6"/>
  <c r="AC68" i="6"/>
  <c r="Z68" i="6"/>
  <c r="AI67" i="6"/>
  <c r="AF67" i="6"/>
  <c r="AC67" i="6"/>
  <c r="Z67" i="6"/>
  <c r="AI66" i="6"/>
  <c r="AF66" i="6"/>
  <c r="AC66" i="6"/>
  <c r="Z66" i="6"/>
  <c r="AI65" i="6"/>
  <c r="AF65" i="6"/>
  <c r="AC65" i="6"/>
  <c r="Z65" i="6"/>
  <c r="V60" i="6"/>
  <c r="V50" i="6"/>
  <c r="C73" i="5"/>
  <c r="C16" i="5"/>
  <c r="C33" i="5"/>
  <c r="C46" i="5"/>
  <c r="C60" i="5"/>
  <c r="Q35" i="1"/>
  <c r="C101" i="6" s="1"/>
  <c r="L35" i="1"/>
  <c r="C79" i="6" s="1"/>
  <c r="G35" i="1"/>
  <c r="C57" i="6" s="1"/>
  <c r="S38" i="6"/>
  <c r="Q38" i="6"/>
  <c r="U20" i="6"/>
  <c r="AG20" i="6" s="1"/>
  <c r="U42" i="6"/>
  <c r="AG42" i="6" s="1"/>
  <c r="T42" i="6"/>
  <c r="AD42" i="6" s="1"/>
  <c r="E3" i="7"/>
  <c r="AA3" i="6"/>
  <c r="S3" i="6"/>
  <c r="H3" i="6"/>
  <c r="S16" i="6"/>
  <c r="Q16" i="6"/>
  <c r="W3" i="5"/>
  <c r="H3" i="5"/>
  <c r="D3" i="4"/>
  <c r="M3" i="3"/>
  <c r="F3" i="3"/>
  <c r="E3" i="8"/>
  <c r="I3" i="2"/>
  <c r="C29" i="3"/>
  <c r="F29" i="3"/>
  <c r="J29" i="3" s="1"/>
  <c r="C16" i="3"/>
  <c r="F16" i="3"/>
  <c r="C15" i="3"/>
  <c r="F15" i="3"/>
  <c r="J15" i="3" s="1"/>
  <c r="C14" i="3"/>
  <c r="N14" i="3" s="1"/>
  <c r="C13" i="3"/>
  <c r="N13" i="3" s="1"/>
  <c r="I13" i="1"/>
  <c r="C44" i="7" s="1"/>
  <c r="C14" i="1"/>
  <c r="C16" i="7" s="1"/>
  <c r="N13" i="1"/>
  <c r="C57" i="7" s="1"/>
  <c r="F35" i="8"/>
  <c r="I17" i="3"/>
  <c r="H17" i="3"/>
  <c r="G17" i="3"/>
  <c r="E17" i="3"/>
  <c r="I30" i="3"/>
  <c r="H30" i="3"/>
  <c r="G30" i="3"/>
  <c r="E30" i="3"/>
  <c r="V38" i="6"/>
  <c r="V28" i="6"/>
  <c r="V16" i="6"/>
  <c r="V6" i="6"/>
  <c r="C24" i="6"/>
  <c r="AI47" i="6"/>
  <c r="AF47" i="6"/>
  <c r="AC47" i="6"/>
  <c r="Z47" i="6"/>
  <c r="AI25" i="6"/>
  <c r="AF25" i="6"/>
  <c r="AC25" i="6"/>
  <c r="Z25" i="6"/>
  <c r="AI46" i="6"/>
  <c r="AF46" i="6"/>
  <c r="AC46" i="6"/>
  <c r="Z46" i="6"/>
  <c r="AI45" i="6"/>
  <c r="AF45" i="6"/>
  <c r="AC45" i="6"/>
  <c r="Z45" i="6"/>
  <c r="AI44" i="6"/>
  <c r="AF44" i="6"/>
  <c r="AC44" i="6"/>
  <c r="Z44" i="6"/>
  <c r="AI43" i="6"/>
  <c r="AF43" i="6"/>
  <c r="AC43" i="6"/>
  <c r="Z43" i="6"/>
  <c r="AI24" i="6"/>
  <c r="AI23" i="6"/>
  <c r="AI22" i="6"/>
  <c r="AI21" i="6"/>
  <c r="AF24" i="6"/>
  <c r="AF23" i="6"/>
  <c r="AF22" i="6"/>
  <c r="AF21" i="6"/>
  <c r="AC24" i="6"/>
  <c r="AC23" i="6"/>
  <c r="AC22" i="6"/>
  <c r="AC21" i="6"/>
  <c r="L46" i="6"/>
  <c r="I46" i="6"/>
  <c r="F46" i="6"/>
  <c r="C46" i="6"/>
  <c r="L24" i="6"/>
  <c r="I24" i="6"/>
  <c r="F24" i="6"/>
  <c r="Z22" i="6"/>
  <c r="Z23" i="6"/>
  <c r="Z24" i="6"/>
  <c r="Z21" i="6"/>
  <c r="C15" i="7"/>
  <c r="C12" i="7"/>
  <c r="C13" i="7"/>
  <c r="C14" i="7"/>
  <c r="C27" i="7"/>
  <c r="R42" i="6"/>
  <c r="X42" i="6" s="1"/>
  <c r="C83" i="7"/>
  <c r="G12" i="7" l="1"/>
  <c r="G13" i="5"/>
  <c r="X13" i="5" s="1"/>
  <c r="G13" i="7"/>
  <c r="G14" i="5"/>
  <c r="X14" i="5" s="1"/>
  <c r="L16" i="3"/>
  <c r="E15" i="7" s="1"/>
  <c r="M16" i="3"/>
  <c r="F15" i="7" s="1"/>
  <c r="N16" i="3"/>
  <c r="J16" i="3"/>
  <c r="O16" i="3" s="1"/>
  <c r="H15" i="7" s="1"/>
  <c r="K16" i="3"/>
  <c r="D15" i="7" s="1"/>
  <c r="N29" i="3"/>
  <c r="G27" i="7" s="1"/>
  <c r="M29" i="3"/>
  <c r="L29" i="3"/>
  <c r="K29" i="3"/>
  <c r="O29" i="3"/>
  <c r="C70" i="7"/>
  <c r="J23" i="1"/>
  <c r="C109" i="7" s="1"/>
  <c r="C13" i="6"/>
  <c r="K31" i="1"/>
  <c r="F31" i="1"/>
  <c r="T64" i="6" s="1"/>
  <c r="AD64" i="6" s="1"/>
  <c r="P31" i="1"/>
  <c r="Q19" i="1"/>
  <c r="Q20" i="1" s="1"/>
  <c r="Q21" i="1"/>
  <c r="Q22" i="1" s="1"/>
  <c r="C35" i="6"/>
  <c r="R86" i="6"/>
  <c r="X86" i="6" s="1"/>
  <c r="K23" i="1"/>
  <c r="D109" i="7" s="1"/>
  <c r="C96" i="7"/>
  <c r="R64" i="6"/>
  <c r="X64" i="6" s="1"/>
  <c r="R108" i="6"/>
  <c r="X108" i="6" s="1"/>
  <c r="K15" i="3"/>
  <c r="N15" i="3"/>
  <c r="M15" i="3"/>
  <c r="F14" i="7" s="1"/>
  <c r="O15" i="3"/>
  <c r="H14" i="7" s="1"/>
  <c r="L15" i="3"/>
  <c r="E14" i="7" s="1"/>
  <c r="L14" i="3"/>
  <c r="E13" i="7" s="1"/>
  <c r="M14" i="3"/>
  <c r="F13" i="7" s="1"/>
  <c r="M17" i="7"/>
  <c r="L17" i="7"/>
  <c r="N17" i="7"/>
  <c r="N18" i="7" s="1"/>
  <c r="K17" i="7"/>
  <c r="J17" i="7"/>
  <c r="L13" i="3"/>
  <c r="E12" i="7" s="1"/>
  <c r="C17" i="3"/>
  <c r="M13" i="3"/>
  <c r="F12" i="7" s="1"/>
  <c r="S42" i="6"/>
  <c r="AA42" i="6" s="1"/>
  <c r="Q17" i="1"/>
  <c r="Q18" i="1" s="1"/>
  <c r="S64" i="6"/>
  <c r="AA64" i="6" s="1"/>
  <c r="R20" i="6"/>
  <c r="X20" i="6" s="1"/>
  <c r="Q23" i="1"/>
  <c r="Q24" i="1" s="1"/>
  <c r="Q15" i="1"/>
  <c r="Q16" i="1" s="1"/>
  <c r="G14" i="7" l="1"/>
  <c r="G15" i="5"/>
  <c r="X15" i="5" s="1"/>
  <c r="G16" i="5"/>
  <c r="X16" i="5" s="1"/>
  <c r="Z16" i="5" s="1"/>
  <c r="AA16" i="5" s="1"/>
  <c r="G15" i="7"/>
  <c r="G17" i="7" s="1"/>
  <c r="F16" i="5"/>
  <c r="T16" i="5" s="1"/>
  <c r="V16" i="5" s="1"/>
  <c r="W16" i="5" s="1"/>
  <c r="F27" i="7"/>
  <c r="H27" i="7"/>
  <c r="I27" i="7" s="1"/>
  <c r="H16" i="5"/>
  <c r="D27" i="7"/>
  <c r="D16" i="5"/>
  <c r="I16" i="5" s="1"/>
  <c r="E27" i="7"/>
  <c r="E16" i="5"/>
  <c r="P16" i="5" s="1"/>
  <c r="R16" i="5" s="1"/>
  <c r="S16" i="5" s="1"/>
  <c r="D14" i="7"/>
  <c r="E22" i="4"/>
  <c r="G22" i="4" s="1"/>
  <c r="F17" i="7"/>
  <c r="E17" i="7"/>
  <c r="M18" i="3"/>
  <c r="L18" i="3"/>
  <c r="N18" i="3"/>
  <c r="T108" i="6"/>
  <c r="AD108" i="6" s="1"/>
  <c r="S108" i="6"/>
  <c r="AA108" i="6" s="1"/>
  <c r="T86" i="6"/>
  <c r="AD86" i="6" s="1"/>
  <c r="S86" i="6"/>
  <c r="AA86" i="6" s="1"/>
  <c r="S20" i="6"/>
  <c r="AA20" i="6" s="1"/>
  <c r="T20" i="6"/>
  <c r="AD20" i="6" s="1"/>
  <c r="G13" i="6" l="1"/>
  <c r="G33" i="5"/>
  <c r="K16" i="5"/>
  <c r="M16" i="5" s="1"/>
  <c r="N16" i="5" s="1"/>
  <c r="O16" i="5" s="1"/>
  <c r="E33" i="5"/>
  <c r="E13" i="6"/>
  <c r="F33" i="5"/>
  <c r="F13" i="6"/>
  <c r="X33" i="5" l="1"/>
  <c r="Z33" i="5" s="1"/>
  <c r="AA33" i="5" s="1"/>
  <c r="G44" i="7"/>
  <c r="N24" i="6"/>
  <c r="E24" i="6"/>
  <c r="H24" i="6"/>
  <c r="K24" i="6"/>
  <c r="F44" i="7"/>
  <c r="T33" i="5"/>
  <c r="V33" i="5" s="1"/>
  <c r="W33" i="5" s="1"/>
  <c r="P33" i="5"/>
  <c r="R33" i="5" s="1"/>
  <c r="S33" i="5" s="1"/>
  <c r="E46" i="5" s="1"/>
  <c r="P46" i="5" s="1"/>
  <c r="E44" i="7"/>
  <c r="D33" i="5"/>
  <c r="AB16" i="5"/>
  <c r="D13" i="6"/>
  <c r="E57" i="7" l="1"/>
  <c r="E35" i="6"/>
  <c r="G57" i="7"/>
  <c r="G46" i="5"/>
  <c r="X46" i="5" s="1"/>
  <c r="Z46" i="5" s="1"/>
  <c r="AA46" i="5" s="1"/>
  <c r="G35" i="6"/>
  <c r="H33" i="5"/>
  <c r="H44" i="7" s="1"/>
  <c r="H13" i="6"/>
  <c r="I13" i="6" s="1"/>
  <c r="X14" i="6" s="1"/>
  <c r="I33" i="5"/>
  <c r="D44" i="7"/>
  <c r="F35" i="6"/>
  <c r="F57" i="7"/>
  <c r="F46" i="5"/>
  <c r="T46" i="5" s="1"/>
  <c r="V46" i="5" s="1"/>
  <c r="W46" i="5" s="1"/>
  <c r="D24" i="6"/>
  <c r="J24" i="6"/>
  <c r="T24" i="6" s="1"/>
  <c r="G24" i="6"/>
  <c r="S24" i="6" s="1"/>
  <c r="M24" i="6"/>
  <c r="U24" i="6" s="1"/>
  <c r="R46" i="5"/>
  <c r="S46" i="5" s="1"/>
  <c r="I44" i="7" l="1"/>
  <c r="K46" i="6"/>
  <c r="H46" i="6"/>
  <c r="N46" i="6"/>
  <c r="E46" i="6"/>
  <c r="G57" i="6"/>
  <c r="G60" i="5"/>
  <c r="X60" i="5" s="1"/>
  <c r="Z60" i="5" s="1"/>
  <c r="AA60" i="5" s="1"/>
  <c r="G70" i="7"/>
  <c r="K33" i="5"/>
  <c r="M33" i="5" s="1"/>
  <c r="N33" i="5" s="1"/>
  <c r="O33" i="5" s="1"/>
  <c r="O24" i="6"/>
  <c r="R24" i="6"/>
  <c r="F57" i="6"/>
  <c r="F70" i="7"/>
  <c r="F60" i="5"/>
  <c r="T60" i="5" s="1"/>
  <c r="V60" i="5" s="1"/>
  <c r="W60" i="5" s="1"/>
  <c r="E57" i="6"/>
  <c r="E70" i="7"/>
  <c r="E60" i="5"/>
  <c r="P60" i="5" s="1"/>
  <c r="H68" i="6" l="1"/>
  <c r="K68" i="6"/>
  <c r="N68" i="6"/>
  <c r="E68" i="6"/>
  <c r="G79" i="6"/>
  <c r="G73" i="5"/>
  <c r="X73" i="5" s="1"/>
  <c r="Z73" i="5" s="1"/>
  <c r="AA73" i="5" s="1"/>
  <c r="G83" i="7"/>
  <c r="D57" i="7"/>
  <c r="D46" i="5"/>
  <c r="I46" i="5" s="1"/>
  <c r="K46" i="5" s="1"/>
  <c r="M46" i="5" s="1"/>
  <c r="D35" i="6"/>
  <c r="AB33" i="5"/>
  <c r="F83" i="7"/>
  <c r="F79" i="6"/>
  <c r="F73" i="5"/>
  <c r="T73" i="5" s="1"/>
  <c r="V73" i="5" s="1"/>
  <c r="W73" i="5" s="1"/>
  <c r="R60" i="5"/>
  <c r="S60" i="5" s="1"/>
  <c r="G101" i="6" l="1"/>
  <c r="G96" i="7"/>
  <c r="E90" i="6"/>
  <c r="K90" i="6"/>
  <c r="N90" i="6"/>
  <c r="H90" i="6"/>
  <c r="N46" i="5"/>
  <c r="O46" i="5" s="1"/>
  <c r="D57" i="6" s="1"/>
  <c r="H57" i="7"/>
  <c r="H35" i="6"/>
  <c r="I35" i="6" s="1"/>
  <c r="X36" i="6" s="1"/>
  <c r="H46" i="5"/>
  <c r="G46" i="6"/>
  <c r="S46" i="6" s="1"/>
  <c r="D46" i="6"/>
  <c r="M46" i="6"/>
  <c r="U46" i="6" s="1"/>
  <c r="J46" i="6"/>
  <c r="T46" i="6" s="1"/>
  <c r="F101" i="6"/>
  <c r="F96" i="7"/>
  <c r="D70" i="7"/>
  <c r="AB46" i="5"/>
  <c r="E73" i="5"/>
  <c r="P73" i="5" s="1"/>
  <c r="E83" i="7"/>
  <c r="E79" i="6"/>
  <c r="D60" i="5" l="1"/>
  <c r="I60" i="5" s="1"/>
  <c r="K112" i="6"/>
  <c r="N112" i="6"/>
  <c r="H112" i="6"/>
  <c r="E112" i="6"/>
  <c r="O46" i="6"/>
  <c r="R46" i="6"/>
  <c r="I109" i="7"/>
  <c r="K109" i="7" s="1"/>
  <c r="I57" i="7"/>
  <c r="R73" i="5"/>
  <c r="S73" i="5" s="1"/>
  <c r="H70" i="7"/>
  <c r="H57" i="6"/>
  <c r="I57" i="6" s="1"/>
  <c r="X58" i="6" s="1"/>
  <c r="H60" i="5"/>
  <c r="K60" i="5"/>
  <c r="M68" i="6"/>
  <c r="U68" i="6" s="1"/>
  <c r="J68" i="6"/>
  <c r="T68" i="6" s="1"/>
  <c r="D68" i="6"/>
  <c r="G68" i="6"/>
  <c r="S68" i="6" s="1"/>
  <c r="I70" i="7" l="1"/>
  <c r="E96" i="7"/>
  <c r="E101" i="6"/>
  <c r="M60" i="5"/>
  <c r="N60" i="5" s="1"/>
  <c r="O60" i="5" s="1"/>
  <c r="R68" i="6"/>
  <c r="O68" i="6"/>
  <c r="D83" i="7" l="1"/>
  <c r="D79" i="6"/>
  <c r="D73" i="5"/>
  <c r="I73" i="5" s="1"/>
  <c r="AB60" i="5"/>
  <c r="H83" i="7" l="1"/>
  <c r="H79" i="6"/>
  <c r="I79" i="6" s="1"/>
  <c r="X80" i="6" s="1"/>
  <c r="H73" i="5"/>
  <c r="K73" i="5"/>
  <c r="J90" i="6"/>
  <c r="T90" i="6" s="1"/>
  <c r="G90" i="6"/>
  <c r="S90" i="6" s="1"/>
  <c r="M90" i="6"/>
  <c r="U90" i="6" s="1"/>
  <c r="D90" i="6"/>
  <c r="I83" i="7" l="1"/>
  <c r="M73" i="5"/>
  <c r="N73" i="5" s="1"/>
  <c r="O73" i="5" s="1"/>
  <c r="R90" i="6"/>
  <c r="O90" i="6"/>
  <c r="D101" i="6" l="1"/>
  <c r="D96" i="7"/>
  <c r="AB73" i="5"/>
  <c r="H96" i="7" l="1"/>
  <c r="H101" i="6"/>
  <c r="I101" i="6" s="1"/>
  <c r="X102" i="6" s="1"/>
  <c r="G112" i="6"/>
  <c r="S112" i="6" s="1"/>
  <c r="J112" i="6"/>
  <c r="T112" i="6" s="1"/>
  <c r="M112" i="6"/>
  <c r="U112" i="6" s="1"/>
  <c r="D112" i="6"/>
  <c r="J109" i="7" l="1"/>
  <c r="L109" i="7" s="1"/>
  <c r="R112" i="6"/>
  <c r="O112" i="6"/>
  <c r="I96" i="7"/>
  <c r="F13" i="3" l="1"/>
  <c r="F14" i="3" l="1"/>
  <c r="J14" i="3" s="1"/>
  <c r="O14" i="3" s="1"/>
  <c r="H13" i="7" s="1"/>
  <c r="D17" i="3"/>
  <c r="J13" i="3"/>
  <c r="K13" i="3"/>
  <c r="F17" i="3" l="1"/>
  <c r="K18" i="3" s="1"/>
  <c r="K14" i="3"/>
  <c r="D13" i="7" s="1"/>
  <c r="E21" i="4"/>
  <c r="G21" i="4" s="1"/>
  <c r="D12" i="7"/>
  <c r="E20" i="4"/>
  <c r="G20" i="4" s="1"/>
  <c r="J17" i="3"/>
  <c r="O18" i="3" s="1"/>
  <c r="O13" i="3"/>
  <c r="H12" i="7" s="1"/>
  <c r="H17" i="7" s="1"/>
  <c r="H18" i="7" s="1"/>
  <c r="D17" i="7" l="1"/>
  <c r="C25" i="7" l="1"/>
  <c r="C44" i="5"/>
  <c r="C14" i="5"/>
  <c r="C27" i="3"/>
  <c r="C71" i="5"/>
  <c r="C31" i="5"/>
  <c r="C58" i="5"/>
  <c r="I10" i="1" l="1"/>
  <c r="L22" i="6"/>
  <c r="C70" i="5"/>
  <c r="C30" i="5"/>
  <c r="C57" i="5"/>
  <c r="C26" i="3"/>
  <c r="C24" i="7"/>
  <c r="C13" i="5"/>
  <c r="C43" i="5"/>
  <c r="L23" i="6"/>
  <c r="M27" i="3"/>
  <c r="L27" i="3"/>
  <c r="N27" i="3"/>
  <c r="C21" i="6"/>
  <c r="F23" i="6"/>
  <c r="L21" i="6"/>
  <c r="I23" i="6"/>
  <c r="I21" i="6"/>
  <c r="N10" i="1" l="1"/>
  <c r="F43" i="6"/>
  <c r="C45" i="5"/>
  <c r="C47" i="5" s="1"/>
  <c r="C59" i="5"/>
  <c r="C61" i="5" s="1"/>
  <c r="C26" i="7"/>
  <c r="C15" i="5"/>
  <c r="C17" i="5" s="1"/>
  <c r="C28" i="3"/>
  <c r="C32" i="5"/>
  <c r="C34" i="5" s="1"/>
  <c r="C72" i="5"/>
  <c r="C74" i="5" s="1"/>
  <c r="C43" i="6"/>
  <c r="M26" i="3"/>
  <c r="L26" i="3"/>
  <c r="N26" i="3"/>
  <c r="Z14" i="5"/>
  <c r="AA14" i="5" s="1"/>
  <c r="G25" i="7"/>
  <c r="J14" i="1"/>
  <c r="C41" i="7"/>
  <c r="C10" i="6"/>
  <c r="I12" i="1"/>
  <c r="C23" i="6"/>
  <c r="H14" i="1"/>
  <c r="D14" i="1"/>
  <c r="F21" i="6"/>
  <c r="L25" i="6"/>
  <c r="E25" i="7"/>
  <c r="E14" i="5"/>
  <c r="P14" i="5" s="1"/>
  <c r="R14" i="5" s="1"/>
  <c r="S14" i="5" s="1"/>
  <c r="I45" i="6"/>
  <c r="L43" i="6"/>
  <c r="L45" i="6"/>
  <c r="I43" i="6"/>
  <c r="F14" i="5"/>
  <c r="T14" i="5" s="1"/>
  <c r="V14" i="5" s="1"/>
  <c r="W14" i="5" s="1"/>
  <c r="F25" i="7"/>
  <c r="C36" i="1" l="1"/>
  <c r="L44" i="6"/>
  <c r="L47" i="6" s="1"/>
  <c r="C44" i="6"/>
  <c r="L66" i="6"/>
  <c r="C22" i="6"/>
  <c r="C25" i="6" s="1"/>
  <c r="E14" i="1"/>
  <c r="F28" i="3"/>
  <c r="F27" i="3"/>
  <c r="F45" i="6"/>
  <c r="F65" i="6"/>
  <c r="J15" i="1"/>
  <c r="C28" i="7"/>
  <c r="J30" i="7" s="1"/>
  <c r="L28" i="3"/>
  <c r="N28" i="3"/>
  <c r="M28" i="3"/>
  <c r="C30" i="3"/>
  <c r="G11" i="6"/>
  <c r="G31" i="5"/>
  <c r="L67" i="6"/>
  <c r="C43" i="7"/>
  <c r="C12" i="6"/>
  <c r="F13" i="5"/>
  <c r="T13" i="5" s="1"/>
  <c r="V13" i="5" s="1"/>
  <c r="F24" i="7"/>
  <c r="C65" i="6"/>
  <c r="L65" i="6"/>
  <c r="C54" i="7"/>
  <c r="C32" i="6"/>
  <c r="I67" i="6"/>
  <c r="F31" i="5"/>
  <c r="F11" i="6"/>
  <c r="C42" i="1"/>
  <c r="C43" i="1"/>
  <c r="E24" i="7"/>
  <c r="E13" i="5"/>
  <c r="P13" i="5" s="1"/>
  <c r="I65" i="6"/>
  <c r="J20" i="1"/>
  <c r="G24" i="7"/>
  <c r="Z13" i="5"/>
  <c r="E11" i="6"/>
  <c r="E31" i="5"/>
  <c r="C45" i="6"/>
  <c r="M14" i="1" l="1"/>
  <c r="C47" i="6"/>
  <c r="C88" i="6"/>
  <c r="C66" i="6"/>
  <c r="L88" i="6"/>
  <c r="J28" i="3"/>
  <c r="O28" i="3" s="1"/>
  <c r="H15" i="5" s="1"/>
  <c r="K28" i="3"/>
  <c r="F22" i="4" s="1"/>
  <c r="N12" i="1"/>
  <c r="G32" i="1"/>
  <c r="C54" i="6" s="1"/>
  <c r="F26" i="3"/>
  <c r="D30" i="3"/>
  <c r="J27" i="3"/>
  <c r="O27" i="3" s="1"/>
  <c r="K27" i="3"/>
  <c r="F21" i="4" s="1"/>
  <c r="K30" i="7"/>
  <c r="L30" i="7"/>
  <c r="F36" i="1"/>
  <c r="N30" i="7"/>
  <c r="N31" i="7" s="1"/>
  <c r="N33" i="7" s="1"/>
  <c r="M30" i="7"/>
  <c r="I87" i="6"/>
  <c r="L89" i="6"/>
  <c r="F15" i="5"/>
  <c r="T15" i="5" s="1"/>
  <c r="V15" i="5" s="1"/>
  <c r="W15" i="5" s="1"/>
  <c r="F26" i="7"/>
  <c r="F30" i="7" s="1"/>
  <c r="G26" i="7"/>
  <c r="G29" i="7" s="1"/>
  <c r="Z15" i="5"/>
  <c r="AA15" i="5" s="1"/>
  <c r="L32" i="1"/>
  <c r="F42" i="7"/>
  <c r="T31" i="5"/>
  <c r="V31" i="5" s="1"/>
  <c r="W31" i="5" s="1"/>
  <c r="L69" i="6"/>
  <c r="L31" i="3"/>
  <c r="E18" i="5" s="1"/>
  <c r="P18" i="5" s="1"/>
  <c r="Q18" i="5" s="1"/>
  <c r="M31" i="3"/>
  <c r="F18" i="5" s="1"/>
  <c r="T18" i="5" s="1"/>
  <c r="U18" i="5" s="1"/>
  <c r="N31" i="3"/>
  <c r="G18" i="5" s="1"/>
  <c r="X18" i="5" s="1"/>
  <c r="H36" i="1"/>
  <c r="E15" i="5"/>
  <c r="P15" i="5" s="1"/>
  <c r="E26" i="7"/>
  <c r="E29" i="7" s="1"/>
  <c r="L87" i="6"/>
  <c r="R13" i="5"/>
  <c r="S13" i="5" s="1"/>
  <c r="C87" i="6"/>
  <c r="AA13" i="5"/>
  <c r="C106" i="7"/>
  <c r="I89" i="6"/>
  <c r="X31" i="5"/>
  <c r="Z31" i="5" s="1"/>
  <c r="AA31" i="5" s="1"/>
  <c r="G42" i="7"/>
  <c r="C67" i="6"/>
  <c r="P31" i="5"/>
  <c r="R31" i="5" s="1"/>
  <c r="S31" i="5" s="1"/>
  <c r="E42" i="7"/>
  <c r="W13" i="5"/>
  <c r="N22" i="6"/>
  <c r="E22" i="6"/>
  <c r="H26" i="7" l="1"/>
  <c r="I26" i="7" s="1"/>
  <c r="C110" i="6"/>
  <c r="F44" i="6"/>
  <c r="F47" i="6" s="1"/>
  <c r="I22" i="6"/>
  <c r="G14" i="1"/>
  <c r="D26" i="7"/>
  <c r="N11" i="1"/>
  <c r="L110" i="6"/>
  <c r="C67" i="7"/>
  <c r="K14" i="1"/>
  <c r="K15" i="1" s="1"/>
  <c r="F22" i="6"/>
  <c r="F14" i="1"/>
  <c r="F15" i="1" s="1"/>
  <c r="I11" i="1"/>
  <c r="I109" i="6"/>
  <c r="D15" i="5"/>
  <c r="I15" i="5" s="1"/>
  <c r="C34" i="6"/>
  <c r="C56" i="7"/>
  <c r="J22" i="1"/>
  <c r="C108" i="7" s="1"/>
  <c r="J26" i="3"/>
  <c r="F30" i="3"/>
  <c r="K31" i="3" s="1"/>
  <c r="D18" i="5" s="1"/>
  <c r="I18" i="5" s="1"/>
  <c r="K26" i="3"/>
  <c r="F20" i="4" s="1"/>
  <c r="D25" i="7"/>
  <c r="D14" i="5"/>
  <c r="I14" i="5" s="1"/>
  <c r="H25" i="7"/>
  <c r="I25" i="7" s="1"/>
  <c r="H14" i="5"/>
  <c r="Q32" i="1"/>
  <c r="K20" i="1" s="1"/>
  <c r="K36" i="1"/>
  <c r="H37" i="1"/>
  <c r="F29" i="7"/>
  <c r="G30" i="7"/>
  <c r="C76" i="6"/>
  <c r="C80" i="7"/>
  <c r="V18" i="5"/>
  <c r="W18" i="5" s="1"/>
  <c r="F35" i="5" s="1"/>
  <c r="T35" i="5" s="1"/>
  <c r="U35" i="5" s="1"/>
  <c r="F44" i="5"/>
  <c r="T44" i="5" s="1"/>
  <c r="V44" i="5" s="1"/>
  <c r="W44" i="5" s="1"/>
  <c r="F33" i="6"/>
  <c r="F55" i="7"/>
  <c r="G10" i="6"/>
  <c r="G30" i="5"/>
  <c r="L111" i="6"/>
  <c r="E30" i="7"/>
  <c r="R15" i="5"/>
  <c r="R18" i="5" s="1"/>
  <c r="S18" i="5" s="1"/>
  <c r="E35" i="5" s="1"/>
  <c r="P35" i="5" s="1"/>
  <c r="Q35" i="5" s="1"/>
  <c r="F87" i="6"/>
  <c r="L109" i="6"/>
  <c r="I111" i="6"/>
  <c r="F10" i="6"/>
  <c r="F30" i="5"/>
  <c r="G33" i="6"/>
  <c r="G44" i="5"/>
  <c r="X44" i="5" s="1"/>
  <c r="Z44" i="5" s="1"/>
  <c r="AA44" i="5" s="1"/>
  <c r="G55" i="7"/>
  <c r="E30" i="5"/>
  <c r="E10" i="6"/>
  <c r="C89" i="6"/>
  <c r="C91" i="6" s="1"/>
  <c r="L34" i="1"/>
  <c r="C109" i="6"/>
  <c r="L91" i="6"/>
  <c r="M36" i="1"/>
  <c r="F32" i="5"/>
  <c r="F12" i="6"/>
  <c r="E33" i="6"/>
  <c r="E55" i="7"/>
  <c r="E44" i="5"/>
  <c r="P44" i="5" s="1"/>
  <c r="R44" i="5" s="1"/>
  <c r="S44" i="5" s="1"/>
  <c r="G32" i="5"/>
  <c r="G12" i="6"/>
  <c r="Z18" i="5"/>
  <c r="AA18" i="5" s="1"/>
  <c r="F67" i="6"/>
  <c r="G34" i="1"/>
  <c r="C69" i="6"/>
  <c r="G15" i="1" l="1"/>
  <c r="H15" i="1"/>
  <c r="I44" i="6"/>
  <c r="I47" i="6" s="1"/>
  <c r="L14" i="1"/>
  <c r="I25" i="6"/>
  <c r="K22" i="6"/>
  <c r="C33" i="6"/>
  <c r="C36" i="6" s="1"/>
  <c r="C55" i="7"/>
  <c r="C58" i="7" s="1"/>
  <c r="F25" i="6"/>
  <c r="H22" i="6"/>
  <c r="N14" i="1"/>
  <c r="G33" i="1"/>
  <c r="G36" i="1" s="1"/>
  <c r="F66" i="6"/>
  <c r="F69" i="6" s="1"/>
  <c r="C11" i="6"/>
  <c r="C14" i="6" s="1"/>
  <c r="C42" i="7"/>
  <c r="C45" i="7" s="1"/>
  <c r="J21" i="1"/>
  <c r="C107" i="7" s="1"/>
  <c r="C110" i="7" s="1"/>
  <c r="I14" i="1"/>
  <c r="D36" i="1"/>
  <c r="D37" i="1" s="1"/>
  <c r="F109" i="6"/>
  <c r="M37" i="1"/>
  <c r="D13" i="5"/>
  <c r="I13" i="5" s="1"/>
  <c r="D24" i="7"/>
  <c r="J30" i="3"/>
  <c r="O31" i="3" s="1"/>
  <c r="O26" i="3"/>
  <c r="P36" i="1"/>
  <c r="F111" i="6"/>
  <c r="Y18" i="5"/>
  <c r="S15" i="5"/>
  <c r="H23" i="6"/>
  <c r="K23" i="6"/>
  <c r="N23" i="6"/>
  <c r="E23" i="6"/>
  <c r="T32" i="5"/>
  <c r="V32" i="5" s="1"/>
  <c r="W32" i="5" s="1"/>
  <c r="F43" i="7"/>
  <c r="X32" i="5"/>
  <c r="Z32" i="5" s="1"/>
  <c r="AA32" i="5" s="1"/>
  <c r="G43" i="7"/>
  <c r="C78" i="6"/>
  <c r="C82" i="7"/>
  <c r="G58" i="5"/>
  <c r="X58" i="5" s="1"/>
  <c r="Z58" i="5" s="1"/>
  <c r="AA58" i="5" s="1"/>
  <c r="G55" i="6"/>
  <c r="G68" i="7"/>
  <c r="F55" i="6"/>
  <c r="F68" i="7"/>
  <c r="F58" i="5"/>
  <c r="T58" i="5" s="1"/>
  <c r="V58" i="5" s="1"/>
  <c r="W58" i="5" s="1"/>
  <c r="H44" i="6"/>
  <c r="N44" i="6"/>
  <c r="E44" i="6"/>
  <c r="C93" i="7"/>
  <c r="C98" i="6"/>
  <c r="F41" i="7"/>
  <c r="T30" i="5"/>
  <c r="V30" i="5" s="1"/>
  <c r="G15" i="6"/>
  <c r="X15" i="6" s="1"/>
  <c r="E21" i="6"/>
  <c r="K21" i="6"/>
  <c r="N21" i="6"/>
  <c r="H21" i="6"/>
  <c r="C56" i="6"/>
  <c r="C69" i="7"/>
  <c r="C111" i="6"/>
  <c r="C113" i="6" s="1"/>
  <c r="D106" i="7"/>
  <c r="L113" i="6"/>
  <c r="E55" i="6"/>
  <c r="E58" i="5"/>
  <c r="P58" i="5" s="1"/>
  <c r="R58" i="5" s="1"/>
  <c r="S58" i="5" s="1"/>
  <c r="E68" i="7"/>
  <c r="X30" i="5"/>
  <c r="Z30" i="5" s="1"/>
  <c r="G41" i="7"/>
  <c r="G35" i="5"/>
  <c r="X35" i="5" s="1"/>
  <c r="P30" i="5"/>
  <c r="E41" i="7"/>
  <c r="F15" i="6"/>
  <c r="F43" i="1" l="1"/>
  <c r="K44" i="6"/>
  <c r="E43" i="1"/>
  <c r="I43" i="1"/>
  <c r="M15" i="1"/>
  <c r="L15" i="1"/>
  <c r="F89" i="6"/>
  <c r="N36" i="1"/>
  <c r="N37" i="1" s="1"/>
  <c r="I66" i="6"/>
  <c r="I69" i="6" s="1"/>
  <c r="E36" i="1"/>
  <c r="C55" i="6"/>
  <c r="C58" i="6" s="1"/>
  <c r="C68" i="7"/>
  <c r="C71" i="7" s="1"/>
  <c r="J24" i="1"/>
  <c r="I42" i="1" s="1"/>
  <c r="F88" i="6"/>
  <c r="I36" i="1"/>
  <c r="I37" i="1" s="1"/>
  <c r="D43" i="1"/>
  <c r="D42" i="1"/>
  <c r="L33" i="1"/>
  <c r="D30" i="7"/>
  <c r="D29" i="7"/>
  <c r="H24" i="7"/>
  <c r="H13" i="5"/>
  <c r="Q31" i="3"/>
  <c r="H18" i="5"/>
  <c r="Q34" i="1"/>
  <c r="K22" i="1" s="1"/>
  <c r="D108" i="7" s="1"/>
  <c r="E32" i="5"/>
  <c r="E43" i="7" s="1"/>
  <c r="E47" i="7" s="1"/>
  <c r="E12" i="6"/>
  <c r="E15" i="6" s="1"/>
  <c r="H25" i="6"/>
  <c r="S25" i="6" s="1"/>
  <c r="F56" i="7"/>
  <c r="F34" i="6"/>
  <c r="F45" i="5"/>
  <c r="T45" i="5" s="1"/>
  <c r="V45" i="5" s="1"/>
  <c r="W45" i="5" s="1"/>
  <c r="F81" i="7"/>
  <c r="F71" i="5"/>
  <c r="T71" i="5" s="1"/>
  <c r="V71" i="5" s="1"/>
  <c r="W71" i="5" s="1"/>
  <c r="F77" i="6"/>
  <c r="N25" i="6"/>
  <c r="U25" i="6" s="1"/>
  <c r="H66" i="6"/>
  <c r="N66" i="6"/>
  <c r="E66" i="6"/>
  <c r="E77" i="6"/>
  <c r="E81" i="7"/>
  <c r="E71" i="5"/>
  <c r="P71" i="5" s="1"/>
  <c r="R71" i="5" s="1"/>
  <c r="S71" i="5" s="1"/>
  <c r="W30" i="5"/>
  <c r="V35" i="5"/>
  <c r="W35" i="5" s="1"/>
  <c r="F48" i="5" s="1"/>
  <c r="T48" i="5" s="1"/>
  <c r="U48" i="5" s="1"/>
  <c r="G56" i="7"/>
  <c r="G45" i="5"/>
  <c r="X45" i="5" s="1"/>
  <c r="Z45" i="5" s="1"/>
  <c r="AA45" i="5" s="1"/>
  <c r="G34" i="6"/>
  <c r="F47" i="7"/>
  <c r="F46" i="7"/>
  <c r="G47" i="7"/>
  <c r="G46" i="7"/>
  <c r="K25" i="6"/>
  <c r="T25" i="6" s="1"/>
  <c r="G81" i="7"/>
  <c r="G71" i="5"/>
  <c r="X71" i="5" s="1"/>
  <c r="Z71" i="5" s="1"/>
  <c r="AA71" i="5" s="1"/>
  <c r="G77" i="6"/>
  <c r="R30" i="5"/>
  <c r="S30" i="5" s="1"/>
  <c r="AA30" i="5"/>
  <c r="Z35" i="5"/>
  <c r="AA35" i="5" s="1"/>
  <c r="E25" i="6"/>
  <c r="R25" i="6" s="1"/>
  <c r="K66" i="6" l="1"/>
  <c r="F91" i="6"/>
  <c r="C81" i="7"/>
  <c r="C84" i="7" s="1"/>
  <c r="C77" i="6"/>
  <c r="C80" i="6" s="1"/>
  <c r="L36" i="1"/>
  <c r="G43" i="1" s="1"/>
  <c r="F110" i="6"/>
  <c r="F113" i="6" s="1"/>
  <c r="F37" i="1"/>
  <c r="E37" i="1"/>
  <c r="I88" i="6"/>
  <c r="I91" i="6" s="1"/>
  <c r="J36" i="1"/>
  <c r="C100" i="6"/>
  <c r="C95" i="7"/>
  <c r="H30" i="7"/>
  <c r="I24" i="7"/>
  <c r="H29" i="7"/>
  <c r="I29" i="7" s="1"/>
  <c r="P32" i="5"/>
  <c r="R32" i="5" s="1"/>
  <c r="S32" i="5" s="1"/>
  <c r="E56" i="7" s="1"/>
  <c r="G32" i="6"/>
  <c r="G43" i="5"/>
  <c r="X43" i="5" s="1"/>
  <c r="Z43" i="5" s="1"/>
  <c r="G54" i="7"/>
  <c r="E46" i="7"/>
  <c r="F94" i="7"/>
  <c r="F99" i="6"/>
  <c r="F43" i="5"/>
  <c r="T43" i="5" s="1"/>
  <c r="V43" i="5" s="1"/>
  <c r="F54" i="7"/>
  <c r="F32" i="6"/>
  <c r="F37" i="6" s="1"/>
  <c r="F69" i="7"/>
  <c r="F56" i="6"/>
  <c r="F59" i="5"/>
  <c r="T59" i="5" s="1"/>
  <c r="V59" i="5" s="1"/>
  <c r="W59" i="5" s="1"/>
  <c r="G48" i="5"/>
  <c r="X48" i="5" s="1"/>
  <c r="G59" i="5"/>
  <c r="X59" i="5" s="1"/>
  <c r="Z59" i="5" s="1"/>
  <c r="AA59" i="5" s="1"/>
  <c r="G69" i="7"/>
  <c r="G56" i="6"/>
  <c r="Y35" i="5"/>
  <c r="E94" i="7"/>
  <c r="E99" i="6"/>
  <c r="G94" i="7"/>
  <c r="G99" i="6"/>
  <c r="K45" i="6"/>
  <c r="H45" i="6"/>
  <c r="N45" i="6"/>
  <c r="E45" i="6"/>
  <c r="E43" i="5"/>
  <c r="P43" i="5" s="1"/>
  <c r="E54" i="7"/>
  <c r="E32" i="6"/>
  <c r="H88" i="6"/>
  <c r="N88" i="6"/>
  <c r="E88" i="6"/>
  <c r="K88" i="6" l="1"/>
  <c r="J37" i="1"/>
  <c r="K37" i="1"/>
  <c r="H22" i="4"/>
  <c r="I22" i="4" s="1"/>
  <c r="J15" i="5" s="1"/>
  <c r="H20" i="4"/>
  <c r="I20" i="4" s="1"/>
  <c r="J13" i="5" s="1"/>
  <c r="H31" i="7"/>
  <c r="H33" i="7" s="1"/>
  <c r="H34" i="7" s="1"/>
  <c r="I30" i="7"/>
  <c r="E34" i="6"/>
  <c r="E37" i="6" s="1"/>
  <c r="R35" i="5"/>
  <c r="S35" i="5" s="1"/>
  <c r="E48" i="5" s="1"/>
  <c r="P48" i="5" s="1"/>
  <c r="Q48" i="5" s="1"/>
  <c r="E45" i="5"/>
  <c r="P45" i="5" s="1"/>
  <c r="R45" i="5" s="1"/>
  <c r="S45" i="5" s="1"/>
  <c r="E59" i="5" s="1"/>
  <c r="P59" i="5" s="1"/>
  <c r="R59" i="5" s="1"/>
  <c r="S59" i="5" s="1"/>
  <c r="K67" i="6"/>
  <c r="N67" i="6"/>
  <c r="E67" i="6"/>
  <c r="H67" i="6"/>
  <c r="G82" i="7"/>
  <c r="G78" i="6"/>
  <c r="G72" i="5"/>
  <c r="X72" i="5" s="1"/>
  <c r="Z72" i="5" s="1"/>
  <c r="AA72" i="5" s="1"/>
  <c r="F78" i="6"/>
  <c r="F72" i="5"/>
  <c r="T72" i="5" s="1"/>
  <c r="V72" i="5" s="1"/>
  <c r="W72" i="5" s="1"/>
  <c r="F82" i="7"/>
  <c r="G60" i="7"/>
  <c r="G59" i="7"/>
  <c r="V48" i="5"/>
  <c r="W48" i="5" s="1"/>
  <c r="F62" i="5" s="1"/>
  <c r="T62" i="5" s="1"/>
  <c r="U62" i="5" s="1"/>
  <c r="W43" i="5"/>
  <c r="AA43" i="5"/>
  <c r="Z48" i="5"/>
  <c r="N110" i="6"/>
  <c r="E110" i="6"/>
  <c r="H110" i="6"/>
  <c r="E60" i="7"/>
  <c r="E59" i="7"/>
  <c r="R43" i="5"/>
  <c r="F60" i="7"/>
  <c r="F59" i="7"/>
  <c r="G37" i="6"/>
  <c r="X37" i="6" s="1"/>
  <c r="K43" i="6"/>
  <c r="K47" i="6" s="1"/>
  <c r="T47" i="6" s="1"/>
  <c r="H43" i="6"/>
  <c r="H47" i="6" s="1"/>
  <c r="S47" i="6" s="1"/>
  <c r="E43" i="6"/>
  <c r="E47" i="6" s="1"/>
  <c r="R47" i="6" s="1"/>
  <c r="N43" i="6"/>
  <c r="N47" i="6" s="1"/>
  <c r="U47" i="6" s="1"/>
  <c r="K15" i="5" l="1"/>
  <c r="K13" i="5"/>
  <c r="M13" i="5" s="1"/>
  <c r="H21" i="4"/>
  <c r="I21" i="4" s="1"/>
  <c r="J14" i="5" s="1"/>
  <c r="I110" i="6"/>
  <c r="O36" i="1"/>
  <c r="Q33" i="1"/>
  <c r="E69" i="7"/>
  <c r="E56" i="6"/>
  <c r="R48" i="5"/>
  <c r="S48" i="5" s="1"/>
  <c r="E62" i="5" s="1"/>
  <c r="P62" i="5" s="1"/>
  <c r="Q62" i="5" s="1"/>
  <c r="S43" i="5"/>
  <c r="E67" i="7" s="1"/>
  <c r="Y48" i="5"/>
  <c r="AA48" i="5"/>
  <c r="G67" i="7"/>
  <c r="G57" i="5"/>
  <c r="X57" i="5" s="1"/>
  <c r="Z57" i="5" s="1"/>
  <c r="G54" i="6"/>
  <c r="G100" i="6"/>
  <c r="G95" i="7"/>
  <c r="E72" i="5"/>
  <c r="P72" i="5" s="1"/>
  <c r="R72" i="5" s="1"/>
  <c r="S72" i="5" s="1"/>
  <c r="E78" i="6"/>
  <c r="E82" i="7"/>
  <c r="F67" i="7"/>
  <c r="F57" i="5"/>
  <c r="T57" i="5" s="1"/>
  <c r="V57" i="5" s="1"/>
  <c r="F54" i="6"/>
  <c r="F59" i="6" s="1"/>
  <c r="N89" i="6"/>
  <c r="K89" i="6"/>
  <c r="H89" i="6"/>
  <c r="E89" i="6"/>
  <c r="F95" i="7"/>
  <c r="F100" i="6"/>
  <c r="K14" i="5" l="1"/>
  <c r="M15" i="5"/>
  <c r="N15" i="5" s="1"/>
  <c r="O15" i="5" s="1"/>
  <c r="D32" i="5" s="1"/>
  <c r="N13" i="5"/>
  <c r="O13" i="5" s="1"/>
  <c r="AB13" i="5" s="1"/>
  <c r="P37" i="1"/>
  <c r="O37" i="1"/>
  <c r="I113" i="6"/>
  <c r="K110" i="6"/>
  <c r="C99" i="6"/>
  <c r="C102" i="6" s="1"/>
  <c r="C94" i="7"/>
  <c r="C97" i="7" s="1"/>
  <c r="K21" i="1"/>
  <c r="Q36" i="1"/>
  <c r="E54" i="6"/>
  <c r="E59" i="6" s="1"/>
  <c r="E57" i="5"/>
  <c r="P57" i="5" s="1"/>
  <c r="R57" i="5" s="1"/>
  <c r="R62" i="5" s="1"/>
  <c r="S62" i="5" s="1"/>
  <c r="E75" i="5" s="1"/>
  <c r="P75" i="5" s="1"/>
  <c r="Q75" i="5" s="1"/>
  <c r="V62" i="5"/>
  <c r="W62" i="5" s="1"/>
  <c r="F75" i="5" s="1"/>
  <c r="T75" i="5" s="1"/>
  <c r="U75" i="5" s="1"/>
  <c r="W57" i="5"/>
  <c r="E95" i="7"/>
  <c r="E100" i="6"/>
  <c r="F72" i="7"/>
  <c r="F73" i="7"/>
  <c r="G59" i="6"/>
  <c r="X59" i="6" s="1"/>
  <c r="E65" i="6"/>
  <c r="E69" i="6" s="1"/>
  <c r="R69" i="6" s="1"/>
  <c r="N65" i="6"/>
  <c r="N69" i="6" s="1"/>
  <c r="U69" i="6" s="1"/>
  <c r="H65" i="6"/>
  <c r="H69" i="6" s="1"/>
  <c r="S69" i="6" s="1"/>
  <c r="K65" i="6"/>
  <c r="K69" i="6" s="1"/>
  <c r="T69" i="6" s="1"/>
  <c r="G73" i="7"/>
  <c r="G72" i="7"/>
  <c r="K111" i="6"/>
  <c r="H111" i="6"/>
  <c r="N111" i="6"/>
  <c r="E111" i="6"/>
  <c r="Z62" i="5"/>
  <c r="AA57" i="5"/>
  <c r="G62" i="5"/>
  <c r="X62" i="5" s="1"/>
  <c r="E72" i="7"/>
  <c r="E73" i="7"/>
  <c r="M14" i="5" l="1"/>
  <c r="K18" i="5"/>
  <c r="J18" i="5" s="1"/>
  <c r="AB15" i="5"/>
  <c r="H12" i="6" s="1"/>
  <c r="I12" i="6" s="1"/>
  <c r="X13" i="6" s="1"/>
  <c r="D12" i="6"/>
  <c r="D23" i="6" s="1"/>
  <c r="D10" i="6"/>
  <c r="D21" i="6" s="1"/>
  <c r="D30" i="5"/>
  <c r="I30" i="5" s="1"/>
  <c r="J43" i="1"/>
  <c r="H43" i="1"/>
  <c r="H10" i="6"/>
  <c r="H30" i="5"/>
  <c r="H41" i="7" s="1"/>
  <c r="D107" i="7"/>
  <c r="D110" i="7" s="1"/>
  <c r="K24" i="1"/>
  <c r="J42" i="1" s="1"/>
  <c r="I32" i="5"/>
  <c r="K32" i="5" s="1"/>
  <c r="D43" i="7"/>
  <c r="S57" i="5"/>
  <c r="E80" i="7" s="1"/>
  <c r="G76" i="6"/>
  <c r="G80" i="7"/>
  <c r="G70" i="5"/>
  <c r="X70" i="5" s="1"/>
  <c r="Z70" i="5" s="1"/>
  <c r="Y62" i="5"/>
  <c r="AA62" i="5"/>
  <c r="F70" i="5"/>
  <c r="T70" i="5" s="1"/>
  <c r="V70" i="5" s="1"/>
  <c r="F76" i="6"/>
  <c r="F81" i="6" s="1"/>
  <c r="F80" i="7"/>
  <c r="H32" i="5" l="1"/>
  <c r="H43" i="7" s="1"/>
  <c r="I43" i="7" s="1"/>
  <c r="J23" i="6"/>
  <c r="T23" i="6" s="1"/>
  <c r="G23" i="6"/>
  <c r="S23" i="6" s="1"/>
  <c r="M23" i="6"/>
  <c r="U23" i="6" s="1"/>
  <c r="G21" i="6"/>
  <c r="S21" i="6" s="1"/>
  <c r="J21" i="6"/>
  <c r="T21" i="6" s="1"/>
  <c r="D41" i="7"/>
  <c r="M21" i="6"/>
  <c r="N14" i="5"/>
  <c r="O14" i="5" s="1"/>
  <c r="M18" i="5"/>
  <c r="M32" i="5"/>
  <c r="N32" i="5" s="1"/>
  <c r="O32" i="5" s="1"/>
  <c r="E70" i="5"/>
  <c r="P70" i="5" s="1"/>
  <c r="R70" i="5" s="1"/>
  <c r="R75" i="5" s="1"/>
  <c r="S75" i="5" s="1"/>
  <c r="E76" i="6"/>
  <c r="E81" i="6" s="1"/>
  <c r="I41" i="7"/>
  <c r="R23" i="6"/>
  <c r="O23" i="6"/>
  <c r="I10" i="6"/>
  <c r="X11" i="6" s="1"/>
  <c r="R21" i="6"/>
  <c r="V75" i="5"/>
  <c r="W75" i="5" s="1"/>
  <c r="W70" i="5"/>
  <c r="Z75" i="5"/>
  <c r="AA70" i="5"/>
  <c r="G86" i="7"/>
  <c r="G85" i="7"/>
  <c r="E85" i="7"/>
  <c r="E86" i="7"/>
  <c r="G81" i="6"/>
  <c r="X81" i="6" s="1"/>
  <c r="K87" i="6"/>
  <c r="K91" i="6" s="1"/>
  <c r="T91" i="6" s="1"/>
  <c r="N87" i="6"/>
  <c r="N91" i="6" s="1"/>
  <c r="U91" i="6" s="1"/>
  <c r="E87" i="6"/>
  <c r="E91" i="6" s="1"/>
  <c r="R91" i="6" s="1"/>
  <c r="H87" i="6"/>
  <c r="H91" i="6" s="1"/>
  <c r="S91" i="6" s="1"/>
  <c r="G75" i="5"/>
  <c r="X75" i="5" s="1"/>
  <c r="F85" i="7"/>
  <c r="F86" i="7"/>
  <c r="O21" i="6" l="1"/>
  <c r="U21" i="6"/>
  <c r="L18" i="5"/>
  <c r="N18" i="5"/>
  <c r="O18" i="5" s="1"/>
  <c r="D31" i="5"/>
  <c r="D11" i="6"/>
  <c r="AB14" i="5"/>
  <c r="D34" i="6"/>
  <c r="D45" i="5"/>
  <c r="I45" i="5" s="1"/>
  <c r="K45" i="5" s="1"/>
  <c r="M45" i="5" s="1"/>
  <c r="N45" i="5" s="1"/>
  <c r="O45" i="5" s="1"/>
  <c r="AB32" i="5"/>
  <c r="D56" i="7"/>
  <c r="F98" i="6"/>
  <c r="F103" i="6" s="1"/>
  <c r="F93" i="7"/>
  <c r="G98" i="6"/>
  <c r="G93" i="7"/>
  <c r="Y75" i="5"/>
  <c r="AA75" i="5"/>
  <c r="S70" i="5"/>
  <c r="H11" i="6" l="1"/>
  <c r="H31" i="5"/>
  <c r="H42" i="7" s="1"/>
  <c r="M22" i="6"/>
  <c r="J22" i="6"/>
  <c r="D22" i="6"/>
  <c r="G22" i="6"/>
  <c r="D15" i="6"/>
  <c r="I31" i="5"/>
  <c r="D42" i="7"/>
  <c r="D35" i="5"/>
  <c r="I35" i="5" s="1"/>
  <c r="AB18" i="5"/>
  <c r="H35" i="5" s="1"/>
  <c r="H56" i="7"/>
  <c r="H45" i="5"/>
  <c r="H34" i="6"/>
  <c r="I34" i="6" s="1"/>
  <c r="X35" i="6" s="1"/>
  <c r="G45" i="6"/>
  <c r="S45" i="6" s="1"/>
  <c r="M45" i="6"/>
  <c r="U45" i="6" s="1"/>
  <c r="D45" i="6"/>
  <c r="J45" i="6"/>
  <c r="T45" i="6" s="1"/>
  <c r="D59" i="5"/>
  <c r="I59" i="5" s="1"/>
  <c r="D56" i="6"/>
  <c r="D69" i="7"/>
  <c r="AB45" i="5"/>
  <c r="E93" i="7"/>
  <c r="E98" i="6"/>
  <c r="E103" i="6" s="1"/>
  <c r="G103" i="6"/>
  <c r="X103" i="6" s="1"/>
  <c r="N109" i="6"/>
  <c r="N113" i="6" s="1"/>
  <c r="U113" i="6" s="1"/>
  <c r="K109" i="6"/>
  <c r="K113" i="6" s="1"/>
  <c r="T113" i="6" s="1"/>
  <c r="H109" i="6"/>
  <c r="H113" i="6" s="1"/>
  <c r="S113" i="6" s="1"/>
  <c r="E109" i="6"/>
  <c r="E113" i="6" s="1"/>
  <c r="R113" i="6" s="1"/>
  <c r="F98" i="7"/>
  <c r="F99" i="7"/>
  <c r="G98" i="7"/>
  <c r="G99" i="7"/>
  <c r="D25" i="6" l="1"/>
  <c r="O22" i="6"/>
  <c r="O25" i="6" s="1"/>
  <c r="R22" i="6"/>
  <c r="T22" i="6"/>
  <c r="J25" i="6"/>
  <c r="I42" i="7"/>
  <c r="H46" i="7"/>
  <c r="I46" i="7" s="1"/>
  <c r="H47" i="7"/>
  <c r="K31" i="5"/>
  <c r="M31" i="5" s="1"/>
  <c r="N31" i="5" s="1"/>
  <c r="O31" i="5" s="1"/>
  <c r="S22" i="6"/>
  <c r="G25" i="6"/>
  <c r="U22" i="6"/>
  <c r="M25" i="6"/>
  <c r="D47" i="7"/>
  <c r="D46" i="7"/>
  <c r="I11" i="6"/>
  <c r="X12" i="6" s="1"/>
  <c r="H15" i="6"/>
  <c r="R45" i="6"/>
  <c r="O45" i="6"/>
  <c r="I56" i="7"/>
  <c r="I108" i="7"/>
  <c r="K108" i="7" s="1"/>
  <c r="H56" i="6"/>
  <c r="H69" i="7"/>
  <c r="H59" i="5"/>
  <c r="D67" i="6"/>
  <c r="J67" i="6"/>
  <c r="G67" i="6"/>
  <c r="M67" i="6"/>
  <c r="K59" i="5"/>
  <c r="M59" i="5" s="1"/>
  <c r="E99" i="7"/>
  <c r="E98" i="7"/>
  <c r="AB31" i="5" l="1"/>
  <c r="D44" i="5"/>
  <c r="I44" i="5" s="1"/>
  <c r="K44" i="5" s="1"/>
  <c r="M44" i="5" s="1"/>
  <c r="N44" i="5" s="1"/>
  <c r="O44" i="5" s="1"/>
  <c r="D33" i="6"/>
  <c r="D55" i="7"/>
  <c r="H48" i="7"/>
  <c r="I47" i="7"/>
  <c r="T67" i="6"/>
  <c r="O67" i="6"/>
  <c r="R67" i="6"/>
  <c r="I69" i="7"/>
  <c r="S67" i="6"/>
  <c r="N59" i="5"/>
  <c r="O59" i="5" s="1"/>
  <c r="U67" i="6"/>
  <c r="I56" i="6"/>
  <c r="X57" i="6" s="1"/>
  <c r="AB44" i="5" l="1"/>
  <c r="D55" i="6"/>
  <c r="D58" i="5"/>
  <c r="I58" i="5" s="1"/>
  <c r="D68" i="7"/>
  <c r="D44" i="6"/>
  <c r="M44" i="6"/>
  <c r="U44" i="6" s="1"/>
  <c r="G44" i="6"/>
  <c r="S44" i="6" s="1"/>
  <c r="J44" i="6"/>
  <c r="T44" i="6" s="1"/>
  <c r="H55" i="7"/>
  <c r="H33" i="6"/>
  <c r="I33" i="6" s="1"/>
  <c r="X34" i="6" s="1"/>
  <c r="H44" i="5"/>
  <c r="D72" i="5"/>
  <c r="I72" i="5" s="1"/>
  <c r="AB59" i="5"/>
  <c r="D78" i="6"/>
  <c r="D82" i="7"/>
  <c r="G66" i="6" l="1"/>
  <c r="S66" i="6" s="1"/>
  <c r="D66" i="6"/>
  <c r="M66" i="6"/>
  <c r="U66" i="6" s="1"/>
  <c r="J66" i="6"/>
  <c r="T66" i="6" s="1"/>
  <c r="O44" i="6"/>
  <c r="R44" i="6"/>
  <c r="K58" i="5"/>
  <c r="M58" i="5" s="1"/>
  <c r="I107" i="7"/>
  <c r="K107" i="7" s="1"/>
  <c r="I55" i="7"/>
  <c r="H55" i="6"/>
  <c r="I55" i="6" s="1"/>
  <c r="X56" i="6" s="1"/>
  <c r="H58" i="5"/>
  <c r="H68" i="7"/>
  <c r="I68" i="7" s="1"/>
  <c r="H82" i="7"/>
  <c r="H78" i="6"/>
  <c r="H72" i="5"/>
  <c r="J89" i="6"/>
  <c r="M89" i="6"/>
  <c r="D89" i="6"/>
  <c r="G89" i="6"/>
  <c r="K72" i="5"/>
  <c r="O66" i="6" l="1"/>
  <c r="R66" i="6"/>
  <c r="N58" i="5"/>
  <c r="O58" i="5" s="1"/>
  <c r="U89" i="6"/>
  <c r="T89" i="6"/>
  <c r="S89" i="6"/>
  <c r="I78" i="6"/>
  <c r="X79" i="6" s="1"/>
  <c r="M72" i="5"/>
  <c r="R89" i="6"/>
  <c r="O89" i="6"/>
  <c r="I82" i="7"/>
  <c r="AB58" i="5" l="1"/>
  <c r="D71" i="5"/>
  <c r="I71" i="5" s="1"/>
  <c r="K71" i="5" s="1"/>
  <c r="M71" i="5" s="1"/>
  <c r="N71" i="5" s="1"/>
  <c r="O71" i="5" s="1"/>
  <c r="D81" i="7"/>
  <c r="D77" i="6"/>
  <c r="N72" i="5"/>
  <c r="O72" i="5" s="1"/>
  <c r="G88" i="6" l="1"/>
  <c r="S88" i="6" s="1"/>
  <c r="D88" i="6"/>
  <c r="J88" i="6"/>
  <c r="T88" i="6" s="1"/>
  <c r="M88" i="6"/>
  <c r="U88" i="6" s="1"/>
  <c r="D94" i="7"/>
  <c r="AB71" i="5"/>
  <c r="D99" i="6"/>
  <c r="H71" i="5"/>
  <c r="H77" i="6"/>
  <c r="I77" i="6" s="1"/>
  <c r="X78" i="6" s="1"/>
  <c r="H81" i="7"/>
  <c r="I81" i="7" s="1"/>
  <c r="D95" i="7"/>
  <c r="AB72" i="5"/>
  <c r="D100" i="6"/>
  <c r="H94" i="7" l="1"/>
  <c r="H99" i="6"/>
  <c r="I99" i="6" s="1"/>
  <c r="X100" i="6" s="1"/>
  <c r="M110" i="6"/>
  <c r="U110" i="6" s="1"/>
  <c r="G110" i="6"/>
  <c r="S110" i="6" s="1"/>
  <c r="D110" i="6"/>
  <c r="J110" i="6"/>
  <c r="T110" i="6" s="1"/>
  <c r="R88" i="6"/>
  <c r="O88" i="6"/>
  <c r="M111" i="6"/>
  <c r="J111" i="6"/>
  <c r="G111" i="6"/>
  <c r="D111" i="6"/>
  <c r="H100" i="6"/>
  <c r="H95" i="7"/>
  <c r="O110" i="6" l="1"/>
  <c r="R110" i="6"/>
  <c r="J107" i="7"/>
  <c r="L107" i="7" s="1"/>
  <c r="I94" i="7"/>
  <c r="O111" i="6"/>
  <c r="R111" i="6"/>
  <c r="S111" i="6"/>
  <c r="I100" i="6"/>
  <c r="X101" i="6" s="1"/>
  <c r="T111" i="6"/>
  <c r="I95" i="7"/>
  <c r="J108" i="7"/>
  <c r="L108" i="7" s="1"/>
  <c r="U111" i="6"/>
  <c r="K30" i="5"/>
  <c r="M30" i="5" s="1"/>
  <c r="M35" i="5" s="1"/>
  <c r="K35" i="5" l="1"/>
  <c r="J35" i="5" s="1"/>
  <c r="N30" i="5"/>
  <c r="O30" i="5" s="1"/>
  <c r="N35" i="5" l="1"/>
  <c r="O35" i="5" s="1"/>
  <c r="D48" i="5" s="1"/>
  <c r="I48" i="5" s="1"/>
  <c r="L35" i="5"/>
  <c r="D32" i="6"/>
  <c r="D54" i="7"/>
  <c r="D43" i="5"/>
  <c r="I43" i="5" s="1"/>
  <c r="AB30" i="5"/>
  <c r="AB35" i="5"/>
  <c r="H48" i="5" s="1"/>
  <c r="D43" i="6" l="1"/>
  <c r="G43" i="6"/>
  <c r="D37" i="6"/>
  <c r="J43" i="6"/>
  <c r="M43" i="6"/>
  <c r="H32" i="6"/>
  <c r="H43" i="5"/>
  <c r="H54" i="7"/>
  <c r="K43" i="5"/>
  <c r="M43" i="5" s="1"/>
  <c r="M48" i="5" s="1"/>
  <c r="D59" i="7"/>
  <c r="D60" i="7"/>
  <c r="I32" i="6" l="1"/>
  <c r="X33" i="6" s="1"/>
  <c r="H37" i="6"/>
  <c r="M47" i="6"/>
  <c r="U43" i="6"/>
  <c r="J47" i="6"/>
  <c r="T43" i="6"/>
  <c r="K48" i="5"/>
  <c r="L48" i="5" s="1"/>
  <c r="N43" i="5"/>
  <c r="O43" i="5" s="1"/>
  <c r="G47" i="6"/>
  <c r="S43" i="6"/>
  <c r="I54" i="7"/>
  <c r="I111" i="7"/>
  <c r="K111" i="7" s="1"/>
  <c r="H59" i="7"/>
  <c r="I59" i="7" s="1"/>
  <c r="I106" i="7"/>
  <c r="K106" i="7" s="1"/>
  <c r="H60" i="7"/>
  <c r="R43" i="6"/>
  <c r="D47" i="6"/>
  <c r="O43" i="6"/>
  <c r="O47" i="6" s="1"/>
  <c r="H61" i="7" l="1"/>
  <c r="I112" i="7"/>
  <c r="K112" i="7" s="1"/>
  <c r="I60" i="7"/>
  <c r="N48" i="5"/>
  <c r="O48" i="5" s="1"/>
  <c r="J48" i="5"/>
  <c r="AB43" i="5"/>
  <c r="D67" i="7"/>
  <c r="D57" i="5"/>
  <c r="I57" i="5" s="1"/>
  <c r="D54" i="6"/>
  <c r="D72" i="7" l="1"/>
  <c r="D73" i="7"/>
  <c r="H67" i="7"/>
  <c r="H54" i="6"/>
  <c r="H57" i="5"/>
  <c r="AB48" i="5"/>
  <c r="H62" i="5" s="1"/>
  <c r="D62" i="5"/>
  <c r="I62" i="5" s="1"/>
  <c r="K57" i="5"/>
  <c r="J65" i="6"/>
  <c r="M65" i="6"/>
  <c r="G65" i="6"/>
  <c r="D59" i="6"/>
  <c r="D65" i="6"/>
  <c r="H113" i="7"/>
  <c r="K62" i="5" l="1"/>
  <c r="S65" i="6"/>
  <c r="G69" i="6"/>
  <c r="H59" i="6"/>
  <c r="I54" i="6"/>
  <c r="X55" i="6" s="1"/>
  <c r="M69" i="6"/>
  <c r="U65" i="6"/>
  <c r="H73" i="7"/>
  <c r="H72" i="7"/>
  <c r="I72" i="7" s="1"/>
  <c r="I67" i="7"/>
  <c r="R65" i="6"/>
  <c r="D69" i="6"/>
  <c r="O65" i="6"/>
  <c r="O69" i="6" s="1"/>
  <c r="J69" i="6"/>
  <c r="T65" i="6"/>
  <c r="M57" i="5"/>
  <c r="M62" i="5" s="1"/>
  <c r="N62" i="5" l="1"/>
  <c r="O62" i="5" s="1"/>
  <c r="AB62" i="5" s="1"/>
  <c r="H75" i="5" s="1"/>
  <c r="H74" i="7"/>
  <c r="I73" i="7"/>
  <c r="J62" i="5"/>
  <c r="L62" i="5"/>
  <c r="N57" i="5"/>
  <c r="O57" i="5" s="1"/>
  <c r="D75" i="5" l="1"/>
  <c r="I75" i="5" s="1"/>
  <c r="D76" i="6"/>
  <c r="D80" i="7"/>
  <c r="AB57" i="5"/>
  <c r="D70" i="5"/>
  <c r="I70" i="5" s="1"/>
  <c r="K70" i="5" l="1"/>
  <c r="M70" i="5"/>
  <c r="M75" i="5" s="1"/>
  <c r="H70" i="5"/>
  <c r="H80" i="7"/>
  <c r="H76" i="6"/>
  <c r="D85" i="7"/>
  <c r="D86" i="7"/>
  <c r="M87" i="6"/>
  <c r="J87" i="6"/>
  <c r="G87" i="6"/>
  <c r="D87" i="6"/>
  <c r="D81" i="6"/>
  <c r="H81" i="6" l="1"/>
  <c r="I76" i="6"/>
  <c r="X77" i="6" s="1"/>
  <c r="U87" i="6"/>
  <c r="M91" i="6"/>
  <c r="H85" i="7"/>
  <c r="I85" i="7" s="1"/>
  <c r="I80" i="7"/>
  <c r="H86" i="7"/>
  <c r="O87" i="6"/>
  <c r="O91" i="6" s="1"/>
  <c r="R87" i="6"/>
  <c r="D91" i="6"/>
  <c r="G91" i="6"/>
  <c r="S87" i="6"/>
  <c r="T87" i="6"/>
  <c r="J91" i="6"/>
  <c r="N70" i="5"/>
  <c r="O70" i="5" s="1"/>
  <c r="K75" i="5"/>
  <c r="L75" i="5" s="1"/>
  <c r="D98" i="6" l="1"/>
  <c r="AB70" i="5"/>
  <c r="D93" i="7"/>
  <c r="I86" i="7"/>
  <c r="H87" i="7"/>
  <c r="N75" i="5"/>
  <c r="O75" i="5" s="1"/>
  <c r="AB75" i="5" s="1"/>
  <c r="J75" i="5"/>
  <c r="J109" i="6" l="1"/>
  <c r="G109" i="6"/>
  <c r="D109" i="6"/>
  <c r="D103" i="6"/>
  <c r="M109" i="6"/>
  <c r="D98" i="7"/>
  <c r="D99" i="7"/>
  <c r="H98" i="6"/>
  <c r="H93" i="7"/>
  <c r="J106" i="7" l="1"/>
  <c r="L106" i="7" s="1"/>
  <c r="I93" i="7"/>
  <c r="H98" i="7"/>
  <c r="I98" i="7" s="1"/>
  <c r="J111" i="7"/>
  <c r="L111" i="7" s="1"/>
  <c r="H99" i="7"/>
  <c r="D113" i="6"/>
  <c r="O109" i="6"/>
  <c r="O113" i="6" s="1"/>
  <c r="R109" i="6"/>
  <c r="H103" i="6"/>
  <c r="I98" i="6"/>
  <c r="X99" i="6" s="1"/>
  <c r="S109" i="6"/>
  <c r="G113" i="6"/>
  <c r="M113" i="6"/>
  <c r="U109" i="6"/>
  <c r="J113" i="6"/>
  <c r="T109" i="6"/>
  <c r="J112" i="7" l="1"/>
  <c r="L112" i="7" s="1"/>
  <c r="I99" i="7"/>
  <c r="H100" i="7"/>
  <c r="H114" i="7" l="1"/>
</calcChain>
</file>

<file path=xl/sharedStrings.xml><?xml version="1.0" encoding="utf-8"?>
<sst xmlns="http://schemas.openxmlformats.org/spreadsheetml/2006/main" count="2197" uniqueCount="557">
  <si>
    <t>Row # / Column Letter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</si>
  <si>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</si>
  <si>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</si>
  <si>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</si>
  <si>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</si>
  <si>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</si>
  <si>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</si>
  <si>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</si>
  <si>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</si>
  <si>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</si>
  <si>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</si>
  <si>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</si>
  <si>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</si>
  <si>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</si>
  <si>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Medicaid Eligibility Group (MEG)</t>
  </si>
  <si>
    <t>Projected Year 1</t>
  </si>
  <si>
    <t>Projected Year 2</t>
  </si>
  <si>
    <t>Total Projected</t>
  </si>
  <si>
    <t>(P1)</t>
  </si>
  <si>
    <t>(P2)</t>
  </si>
  <si>
    <t>(D+E)</t>
  </si>
  <si>
    <t>Total Member Months</t>
  </si>
  <si>
    <t>Quarterly % Increase</t>
  </si>
  <si>
    <t>State Plan Services</t>
  </si>
  <si>
    <t>All MEGS</t>
  </si>
  <si>
    <t>Service Category</t>
  </si>
  <si>
    <t xml:space="preserve">State Plan </t>
  </si>
  <si>
    <t>1915(b)(3)</t>
  </si>
  <si>
    <t>MCO</t>
  </si>
  <si>
    <t xml:space="preserve">FFS services </t>
  </si>
  <si>
    <t>PCCM</t>
  </si>
  <si>
    <t>PIHP</t>
  </si>
  <si>
    <t>Approved</t>
  </si>
  <si>
    <t>Services</t>
  </si>
  <si>
    <t>Capitated</t>
  </si>
  <si>
    <t xml:space="preserve">Impacted </t>
  </si>
  <si>
    <t xml:space="preserve"> Fee-for Service</t>
  </si>
  <si>
    <t>Reimbursement</t>
  </si>
  <si>
    <t>by MCO</t>
  </si>
  <si>
    <t>Inpatient Hospital (includes psych)</t>
  </si>
  <si>
    <t>X</t>
  </si>
  <si>
    <t>IHS Inpatient</t>
  </si>
  <si>
    <t>Mental Health Facility</t>
  </si>
  <si>
    <t>Skilled Nursing Home</t>
  </si>
  <si>
    <t>ICF-MR Public</t>
  </si>
  <si>
    <t>ICF-MR Private</t>
  </si>
  <si>
    <t>ICF-Other</t>
  </si>
  <si>
    <t>Physician Services (includes psych)</t>
  </si>
  <si>
    <t>Outpatient Hospital (includes psych)</t>
  </si>
  <si>
    <t xml:space="preserve">IHS Outpatient </t>
  </si>
  <si>
    <t>Prescribed Drugs</t>
  </si>
  <si>
    <t>Dental Services</t>
  </si>
  <si>
    <t>Other Practitioners (includes psych)</t>
  </si>
  <si>
    <t>Clinic Services</t>
  </si>
  <si>
    <t>Lab or Radiology (includes psych)</t>
  </si>
  <si>
    <t>Home Health Services</t>
  </si>
  <si>
    <t>EPSDT Screening</t>
  </si>
  <si>
    <t>Rural Health Clinic</t>
  </si>
  <si>
    <t>FQHC</t>
  </si>
  <si>
    <t>Tribal 638</t>
  </si>
  <si>
    <t>HCBS Waivers</t>
  </si>
  <si>
    <t>Personal Care</t>
  </si>
  <si>
    <t>Other Care Services</t>
  </si>
  <si>
    <t>Family Planning</t>
  </si>
  <si>
    <t>Targeted Case Mgmt - MR Waiver</t>
  </si>
  <si>
    <t>Individualized Alternative or Enhanced Services</t>
  </si>
  <si>
    <t>PCCM Case Management Fees</t>
  </si>
  <si>
    <t>Managed Care Capitated Services</t>
  </si>
  <si>
    <t>O</t>
  </si>
  <si>
    <t xml:space="preserve">MCO/PIHP </t>
  </si>
  <si>
    <t xml:space="preserve">1915(b)(3) </t>
  </si>
  <si>
    <t xml:space="preserve">Administration </t>
  </si>
  <si>
    <t>Medicaid Eligibility Group</t>
  </si>
  <si>
    <t xml:space="preserve">service costs </t>
  </si>
  <si>
    <t>(MEG)</t>
  </si>
  <si>
    <t>Member</t>
  </si>
  <si>
    <t xml:space="preserve">or PCCM Case </t>
  </si>
  <si>
    <t>Fee-for-Service</t>
  </si>
  <si>
    <t>State Plan</t>
  </si>
  <si>
    <t xml:space="preserve">(provide </t>
  </si>
  <si>
    <t xml:space="preserve">Total Actual </t>
  </si>
  <si>
    <t>Incentive</t>
  </si>
  <si>
    <t>Administration</t>
  </si>
  <si>
    <t>Total Actual</t>
  </si>
  <si>
    <t>Months</t>
  </si>
  <si>
    <t>Management Fees</t>
  </si>
  <si>
    <t>Costs</t>
  </si>
  <si>
    <t>Service Costs</t>
  </si>
  <si>
    <t xml:space="preserve"> provide documentation)</t>
  </si>
  <si>
    <t>documentation)</t>
  </si>
  <si>
    <t>schedule categories)</t>
  </si>
  <si>
    <t>Waiver Costs</t>
  </si>
  <si>
    <t>(F+G+H+I)</t>
  </si>
  <si>
    <t>(F/C)</t>
  </si>
  <si>
    <t>(G/C)</t>
  </si>
  <si>
    <t>(H/C)</t>
  </si>
  <si>
    <t>(I/C)</t>
  </si>
  <si>
    <t>(J/C)</t>
  </si>
  <si>
    <t>Total</t>
  </si>
  <si>
    <t>* If a change please note</t>
  </si>
  <si>
    <t>Adjustments to the Waiver Cost Projection</t>
  </si>
  <si>
    <t>Adjustments Made</t>
  </si>
  <si>
    <t>Location of Adjustment</t>
  </si>
  <si>
    <t>State Plan Trend</t>
  </si>
  <si>
    <t xml:space="preserve">State Plan Programmatic/policy/pricing changes </t>
  </si>
  <si>
    <t>Administrative Cost Adjustment</t>
  </si>
  <si>
    <t>1915(b)(3) service Trend</t>
  </si>
  <si>
    <t>Incentives (not in cap payment) Adjustments</t>
  </si>
  <si>
    <t xml:space="preserve">Other </t>
  </si>
  <si>
    <t>P</t>
  </si>
  <si>
    <t>Q</t>
  </si>
  <si>
    <t>R</t>
  </si>
  <si>
    <t>S</t>
  </si>
  <si>
    <t>T</t>
  </si>
  <si>
    <t>U</t>
  </si>
  <si>
    <t>V</t>
  </si>
  <si>
    <t>W</t>
  </si>
  <si>
    <t>Y</t>
  </si>
  <si>
    <t>Z</t>
  </si>
  <si>
    <t>AA</t>
  </si>
  <si>
    <t>AB</t>
  </si>
  <si>
    <t>Actual Waiver Cost Conversion Renewal Comprehensive Version</t>
  </si>
  <si>
    <t>Note: Complete this Appendix for all Prospective Years</t>
  </si>
  <si>
    <t>Waiver Cost Projection</t>
  </si>
  <si>
    <t>PMPM Effect of</t>
  </si>
  <si>
    <t>Program Adjustment</t>
  </si>
  <si>
    <t>Aggregate PMPM</t>
  </si>
  <si>
    <t>Total P1 PMPM</t>
  </si>
  <si>
    <t>Incentive Cost</t>
  </si>
  <si>
    <t>1915(b)(3) Service Costs</t>
  </si>
  <si>
    <t>Administration Costs</t>
  </si>
  <si>
    <t>Inflation Adjustment</t>
  </si>
  <si>
    <t>Inflation</t>
  </si>
  <si>
    <t>[Enter Description</t>
  </si>
  <si>
    <t>Program</t>
  </si>
  <si>
    <t>Effect of State</t>
  </si>
  <si>
    <t>State Plan Service</t>
  </si>
  <si>
    <t>1915(b)(3) Service</t>
  </si>
  <si>
    <t>Administration Cost</t>
  </si>
  <si>
    <t>Projected</t>
  </si>
  <si>
    <t>Member Months</t>
  </si>
  <si>
    <t>Service Costs*</t>
  </si>
  <si>
    <t>Costs*</t>
  </si>
  <si>
    <t>Waiver Costs*</t>
  </si>
  <si>
    <t>(Annual Year 1)</t>
  </si>
  <si>
    <t>Adjustment</t>
  </si>
  <si>
    <t>Here]</t>
  </si>
  <si>
    <t>Plan Service Adj.</t>
  </si>
  <si>
    <t>Cost Projection</t>
  </si>
  <si>
    <t>Projection</t>
  </si>
  <si>
    <t>(Preprint Explains)</t>
  </si>
  <si>
    <t>(IxJ)</t>
  </si>
  <si>
    <t>(K+M)</t>
  </si>
  <si>
    <t>(I+N)</t>
  </si>
  <si>
    <t>(PxQ)</t>
  </si>
  <si>
    <t>(P+R)</t>
  </si>
  <si>
    <t>(T+V)</t>
  </si>
  <si>
    <t>(XxY)</t>
  </si>
  <si>
    <t>(X+Z)</t>
  </si>
  <si>
    <t xml:space="preserve">Total </t>
  </si>
  <si>
    <t>P1 Per Member Per Month (PMPM) Costs</t>
  </si>
  <si>
    <t>P1 PMPM</t>
  </si>
  <si>
    <t>Total P2 PMPM</t>
  </si>
  <si>
    <t xml:space="preserve"> </t>
  </si>
  <si>
    <t>(Annual Year 2)</t>
  </si>
  <si>
    <t>(same as O13-O18)</t>
  </si>
  <si>
    <t>(same as S13-S18)</t>
  </si>
  <si>
    <t>(same as AA13-AA18)</t>
  </si>
  <si>
    <t>(same as AB13-AB18)</t>
  </si>
  <si>
    <t>(O+S+W+AA)</t>
  </si>
  <si>
    <t>Q1 Quarterly Projected Costs</t>
  </si>
  <si>
    <t>Q2 Quarterly Projected Costs</t>
  </si>
  <si>
    <t>Q3 Quarterly Projected Costs</t>
  </si>
  <si>
    <t>Q4 Quarterly Projected Costs</t>
  </si>
  <si>
    <t>Medicaid</t>
  </si>
  <si>
    <t>Year 1</t>
  </si>
  <si>
    <t>Total PMPM</t>
  </si>
  <si>
    <t>Eligibility Group</t>
  </si>
  <si>
    <t>Projections</t>
  </si>
  <si>
    <t xml:space="preserve"> include incentives</t>
  </si>
  <si>
    <t>Q5 Quarterly Projected Costs</t>
  </si>
  <si>
    <t>Q6 Quarterly Projected Costs</t>
  </si>
  <si>
    <t>Q7 Quarterly Projected Costs</t>
  </si>
  <si>
    <t>Q8 Quarterly Projected Costs</t>
  </si>
  <si>
    <t>Year 2</t>
  </si>
  <si>
    <t xml:space="preserve">Overall </t>
  </si>
  <si>
    <t>(annual)</t>
  </si>
  <si>
    <t>Overall</t>
  </si>
  <si>
    <t>P1 to P2 Change</t>
  </si>
  <si>
    <t>(annualized)</t>
  </si>
  <si>
    <r>
      <t xml:space="preserve">Instructions: </t>
    </r>
    <r>
      <rPr>
        <sz val="10"/>
        <rFont val="Arial"/>
        <family val="2"/>
      </rPr>
      <t>Modify columns as applicable to the waiver entity type and structure to note services in different MEGs.</t>
    </r>
  </si>
  <si>
    <r>
      <t xml:space="preserve">* </t>
    </r>
    <r>
      <rPr>
        <sz val="10"/>
        <rFont val="Arial"/>
        <family val="2"/>
      </rPr>
      <t xml:space="preserve">Please note with a * if there are any proposed changes. </t>
    </r>
  </si>
  <si>
    <t>Capitated Costs</t>
  </si>
  <si>
    <t>(Including incentives and risksharing payouts/withholds)</t>
  </si>
  <si>
    <t>(Attach list using CMS 64.10 Waiver</t>
  </si>
  <si>
    <t>FFS Incentive</t>
  </si>
  <si>
    <t>(Same as D13-D18)</t>
  </si>
  <si>
    <t>(same as W13-W18)</t>
  </si>
  <si>
    <t>(Same as G13-G18)</t>
  </si>
  <si>
    <t>(TxU)</t>
  </si>
  <si>
    <t>(Same as F13-F18)</t>
  </si>
  <si>
    <t>(Same as E13-E18)</t>
  </si>
  <si>
    <t xml:space="preserve">** If additional columns are needed in order to identify all of the adjustments being made, please insert the appropriate number of columns and label them accordingly.  </t>
  </si>
  <si>
    <t>P2 PMPM</t>
  </si>
  <si>
    <t>Services in Actual Waiver Cost (Comprehensive and Expedited)</t>
  </si>
  <si>
    <t>Adjustments and Services in Waiver Cost Projection (Comprehensive and Expedited)</t>
  </si>
  <si>
    <t>P1 Projected PMPM Costs (Totals weighted on Projected Year 1 Member Months)</t>
  </si>
  <si>
    <t>P2 Projected PMPM Costs (Totals weighted on Projected Year 2 Member Months)</t>
  </si>
  <si>
    <t>Total P1 Projected</t>
  </si>
  <si>
    <t>Total P2 Projected</t>
  </si>
  <si>
    <t>(not included in capitation rates,</t>
  </si>
  <si>
    <t>((I+K)xL)</t>
  </si>
  <si>
    <t>Projected Quarter 1</t>
  </si>
  <si>
    <t>Projected Quarter 2</t>
  </si>
  <si>
    <t>Projected Quarter 3</t>
  </si>
  <si>
    <t>Projected Quarter 4</t>
  </si>
  <si>
    <t>Projected Quarter 5</t>
  </si>
  <si>
    <t>Projected Quarter 6</t>
  </si>
  <si>
    <t>Projected Quarter 7</t>
  </si>
  <si>
    <t>Projected Quarter 8</t>
  </si>
  <si>
    <t>Targeted Case Mgmt - MH/SA</t>
  </si>
  <si>
    <t>Prospective Year 1 (P1) Projection for State Plan Services**</t>
  </si>
  <si>
    <t>Prospective Year 2 (P2) Projection for State Plan Services**</t>
  </si>
  <si>
    <t>P1 Projection for Incentive Costs not Included in Capitation Rates**</t>
  </si>
  <si>
    <t>P2 Projection for Incentive Costs not Included in Capitation Rates**</t>
  </si>
  <si>
    <t>P1 Projection for 1915(b)(3) Service Costs**</t>
  </si>
  <si>
    <t>P2 Projection for 1915(b)(3) Service Costs**</t>
  </si>
  <si>
    <t>P1 Projection for Administration Costs**</t>
  </si>
  <si>
    <t>P2 Projection for Administration Costs**</t>
  </si>
  <si>
    <t xml:space="preserve">* For comprehensive waivers, Columns D, E, F, G and H are columns K, L, M, N, and O from the Actual Waiver Cost Spreadsheet D3. For expedited waivers, sum the CMS-64.9 WAV and 64.21UWAV forms and divide by the member months for column D.  </t>
  </si>
  <si>
    <t>Sum the CMS 64.10 WAV forms and divide by the member months for Column G. Sum D+G for Column H.</t>
  </si>
  <si>
    <t xml:space="preserve">Waiver Costs </t>
  </si>
  <si>
    <t>Year 1 and 2</t>
  </si>
  <si>
    <t>(P1 +P2)</t>
  </si>
  <si>
    <t>Retrospective Year 1 (R1)</t>
  </si>
  <si>
    <t>Retrospective Year 2 (R2)</t>
  </si>
  <si>
    <t>Renewal Waiver</t>
  </si>
  <si>
    <t>Actual Waiver Cost Renewal Comprehensive Version</t>
  </si>
  <si>
    <t>Waiver Cost Projection Renewal Waiver Comprehensive Version</t>
  </si>
  <si>
    <t>R2 Per Member Per Month (PMPM) Costs</t>
  </si>
  <si>
    <t>Quarterly CMS Targets for RO CMS-64 Review Renewal</t>
  </si>
  <si>
    <t>Cost Effectiveness Summary Sheet Renewal Waiver</t>
  </si>
  <si>
    <t>R2</t>
  </si>
  <si>
    <t>R2 PMPM</t>
  </si>
  <si>
    <t>R2 to P1 Change</t>
  </si>
  <si>
    <t>R1</t>
  </si>
  <si>
    <t>R1 PMPM</t>
  </si>
  <si>
    <t>R1 Per Member Per Month (PMPM) Costs</t>
  </si>
  <si>
    <t>Retrospective Year 2 (R2) Aggregate Costs</t>
  </si>
  <si>
    <t>Retrospective Year 1 (R1) Aggregate Costs</t>
  </si>
  <si>
    <t>Total R1 Expenditures</t>
  </si>
  <si>
    <t>Total R2 Expenditures</t>
  </si>
  <si>
    <t>Retrospective Period</t>
  </si>
  <si>
    <t>Prospective Period</t>
  </si>
  <si>
    <t>R1 to P2 Change</t>
  </si>
  <si>
    <t>R1 to R2 Change</t>
  </si>
  <si>
    <t>Retrospective</t>
  </si>
  <si>
    <t>Year 2 (R2)</t>
  </si>
  <si>
    <t>from the prior waiver submission to the retrospective years of the current waiver submission.</t>
  </si>
  <si>
    <t>Costs to be input below are from the prior waiver submission. Compare the prospective years</t>
  </si>
  <si>
    <t>Administration in Actual Waiver Cost (Comprehensive and Expedited)</t>
  </si>
  <si>
    <r>
      <t xml:space="preserve">Instructions: </t>
    </r>
    <r>
      <rPr>
        <sz val="10"/>
        <rFont val="Arial"/>
        <family val="2"/>
      </rPr>
      <t>Modify columns as applicable to the waiver entity type and structure to note administration in different MEGs, etc.</t>
    </r>
  </si>
  <si>
    <t>CMS 64.10 line Item</t>
  </si>
  <si>
    <t>CMS 64.10 Explanation</t>
  </si>
  <si>
    <t>Contract</t>
  </si>
  <si>
    <t>Match Rate</t>
  </si>
  <si>
    <t>75% FFP</t>
  </si>
  <si>
    <t>50% FFP</t>
  </si>
  <si>
    <t xml:space="preserve">Total Difference between Projections and Actual Waiver Cost for Previous Waiver Period </t>
  </si>
  <si>
    <t xml:space="preserve">Projection for Upcoming Waiver Period </t>
  </si>
  <si>
    <t>64.10 Waiver</t>
  </si>
  <si>
    <t>64.21U Waiver Form</t>
  </si>
  <si>
    <t xml:space="preserve">64.9W /64.21U W </t>
  </si>
  <si>
    <t>64.10 Waiver Form</t>
  </si>
  <si>
    <t>64.9 Waiver Form</t>
  </si>
  <si>
    <t>Waiver Form</t>
  </si>
  <si>
    <t>Quarterly CMS Targets for RO Cost-Effectiveness Monitoring</t>
  </si>
  <si>
    <t>Worksheet for RO PMPM Cost-Effectiveness Monitoring</t>
  </si>
  <si>
    <t>Projections for RO CMS-64 Certification - Aggregate Cost</t>
  </si>
  <si>
    <t>Actuals</t>
  </si>
  <si>
    <t>Waiver Form Costs</t>
  </si>
  <si>
    <t xml:space="preserve">Projected </t>
  </si>
  <si>
    <t xml:space="preserve">Aggregate </t>
  </si>
  <si>
    <t>PMPM Costs</t>
  </si>
  <si>
    <t>Actual</t>
  </si>
  <si>
    <t>Q1 Quarterly Actual Costs</t>
  </si>
  <si>
    <t>Q2 Quarterly Actual Costs</t>
  </si>
  <si>
    <t>Q3 Quarterly Actual Costs</t>
  </si>
  <si>
    <t>Q4 Quarterly Actual Costs</t>
  </si>
  <si>
    <t>Q5 Quarterly Actual Costs</t>
  </si>
  <si>
    <t>Q6 Quarterly Actual Costs</t>
  </si>
  <si>
    <t>Q7 Quarterly Actual Costs</t>
  </si>
  <si>
    <t>Q8 Quarterly Actual Costs</t>
  </si>
  <si>
    <t>RO Completion Section - For ongoing monitoring</t>
  </si>
  <si>
    <t>Total Projected Waiver Expenditures P2 + P1 (Casemix for P1 and P2)</t>
  </si>
  <si>
    <t>Total Previous Waiver Period Expenditures (Casemix for R1 and R2)</t>
  </si>
  <si>
    <t>P1 Projected PMPM</t>
  </si>
  <si>
    <t>State Completion Section - For Waiver Submission</t>
  </si>
  <si>
    <t>From Column G (Administration)</t>
  </si>
  <si>
    <t>(Column H-G)</t>
  </si>
  <si>
    <t>From Column I (services)</t>
  </si>
  <si>
    <t xml:space="preserve">AC </t>
  </si>
  <si>
    <t>AD</t>
  </si>
  <si>
    <t>AE</t>
  </si>
  <si>
    <t>AF</t>
  </si>
  <si>
    <t>AG</t>
  </si>
  <si>
    <t>AH</t>
  </si>
  <si>
    <t>AI</t>
  </si>
  <si>
    <t xml:space="preserve">P1 Projected PMPM Costs from Appendix D5 (Totals weighted on Projected Year 1 Member Months) </t>
  </si>
  <si>
    <t>P2 Projected PMPM Costs from Appendix D5 (Totals weighted on Projected Year 2 Member Months)</t>
  </si>
  <si>
    <t>R2 Weighted Average PMPM Casemix for R1 (R1 MMs)</t>
  </si>
  <si>
    <t>P1 Weighted Average PMPM Casemix for R2 (R2 MMs)</t>
  </si>
  <si>
    <t>P1 Weighted Average PMPM Casemix for P1 (P1 MMs)</t>
  </si>
  <si>
    <t>P2 Weighted Average PMPM Casemix for P1 (P1 MMs)</t>
  </si>
  <si>
    <t>P2 Weighted Average PMPM Casemix for P2 (P2 MMs)</t>
  </si>
  <si>
    <t>P2 Weighted Average PMPM Casemix for R1 (R1 MMs)</t>
  </si>
  <si>
    <t>Note: The States completing the Expedited Test will only attach the most recent waiver Schedule D,
and the corresponding quarters of waiver forms from the CMS-64.9 Waiver and CMS-64.21U Waiver and CMS 64.10 Waiver.
Completion of this Appendix is not necessary for expedited waivers.</t>
  </si>
  <si>
    <t>Note: The States completing the Comprehensive Test will attach the most recent waiver Schedule D,
and the corresponding quarters of waiver forms from the CMS-64.9 Waiver and CMS-64.21U Waiver and CMS 64.10 Waiver.
Completion of this Appendix is required for Comprehensive Waivers.</t>
  </si>
  <si>
    <t>(Same as D30-D35)</t>
  </si>
  <si>
    <t>(Same as E30-E35)</t>
  </si>
  <si>
    <t>(Same as F30-F35)</t>
  </si>
  <si>
    <t>(Same as G30-G35)</t>
  </si>
  <si>
    <t>R1 Overall PMPM Casemix for R1 (R1 MMs)</t>
  </si>
  <si>
    <t>R1 Overall PMPM Casemix for R2 (R2 MMs)</t>
  </si>
  <si>
    <t>P1 PMPM Casemix for R2 (R2 MMs)</t>
  </si>
  <si>
    <t>P2 PMPM Casemix for R2 (R2 MMs)</t>
  </si>
  <si>
    <t>PAHP</t>
  </si>
  <si>
    <t>MEG 1</t>
  </si>
  <si>
    <t>MEG 2</t>
  </si>
  <si>
    <t>MEG 3</t>
  </si>
  <si>
    <t>MEG 4</t>
  </si>
  <si>
    <t>Modify Line items as necessary to fit the services of the program.</t>
  </si>
  <si>
    <t>Modify Line items as necessary to fit the MEGs of the program.</t>
  </si>
  <si>
    <t>State Completion Sections</t>
  </si>
  <si>
    <t>PMPM from previously approved waiver.</t>
  </si>
  <si>
    <t>BY Expenses</t>
  </si>
  <si>
    <t>FAMILY PLANNING</t>
  </si>
  <si>
    <t>90% FFP</t>
  </si>
  <si>
    <t xml:space="preserve">     A.  </t>
  </si>
  <si>
    <t>COSTS OF IN-HOUSE ACTIVITIES PLUS OTHER STATE AGENCIES AND INSTITUTIONS</t>
  </si>
  <si>
    <t xml:space="preserve">     B.  </t>
  </si>
  <si>
    <t>COST OF PRIVATE SECTOR CONTRACTORS</t>
  </si>
  <si>
    <t xml:space="preserve">     C.  </t>
  </si>
  <si>
    <t>DRUG CLAIMS SYSTEM</t>
  </si>
  <si>
    <t>SKILLED PROFESSIONAL MEDICAL PERSONNEL</t>
  </si>
  <si>
    <t xml:space="preserve">     B. </t>
  </si>
  <si>
    <t>MECHANIZED SYSTEMS, NOT APPROVED UNDER  MMIS PROCEDURES:</t>
  </si>
  <si>
    <t>COSTS OF IN-HOUSE ACTIVITIES PLUS OTHER    STATE AGENCIES AND INSTITUTIONS</t>
  </si>
  <si>
    <t>PEER REVIEW ORGANIZATIONS (PRO)</t>
  </si>
  <si>
    <t xml:space="preserve"> 7.  A. </t>
  </si>
  <si>
    <t>THIRD PARTY LIABILITY RECOVERY PROCEDURE - BILLING OFFSET</t>
  </si>
  <si>
    <t>ASSIGNMENT OF RIGHTS - BILLING OFFSET</t>
  </si>
  <si>
    <t>IMMIGRATION STATUS VERIFICATION SYSTEM COSTS</t>
  </si>
  <si>
    <t>100% FFP</t>
  </si>
  <si>
    <t xml:space="preserve"> NURSE AIDE TRAINING COSTS</t>
  </si>
  <si>
    <t xml:space="preserve"> PREADMISSION SCREENING COSTS</t>
  </si>
  <si>
    <t>RESIDENT REVIEW ACTIVITIES COSTS</t>
  </si>
  <si>
    <t>DRUG USE REVIEW PROGRAM</t>
  </si>
  <si>
    <t>OUTSTATIONED ELIGIBILITY WORKERS</t>
  </si>
  <si>
    <t>14.</t>
  </si>
  <si>
    <t>TANF BASE</t>
  </si>
  <si>
    <t xml:space="preserve">15. </t>
  </si>
  <si>
    <t>TANF SECONDARY 90%</t>
  </si>
  <si>
    <t xml:space="preserve">16. </t>
  </si>
  <si>
    <t>TANF SECONDARY 75%</t>
  </si>
  <si>
    <t>17.</t>
  </si>
  <si>
    <t>EXTERNAL REVIEW</t>
  </si>
  <si>
    <t xml:space="preserve">18. </t>
  </si>
  <si>
    <t>ENROLLMENT BROKERS</t>
  </si>
  <si>
    <t xml:space="preserve">19.  </t>
  </si>
  <si>
    <t>OTHER FINANCIAL PARTICIPATION</t>
  </si>
  <si>
    <t>*Allocation basis is ___% of Medicaid costs OR ___ % of Medicaid eligibles OR ___ other, please explain:</t>
  </si>
  <si>
    <t>Add multiple line items as necessary to fit the administration of the program (i.e. if you have more than one contract on line 19, detail the contracts separately).</t>
  </si>
  <si>
    <t>(monthly)</t>
  </si>
  <si>
    <t>To modify the formulas as necessary to fit the length of the program complete this section.  The formulas will automatically update given this data.</t>
  </si>
  <si>
    <t>Gap (end of R2 to P1)</t>
  </si>
  <si>
    <t>P1</t>
  </si>
  <si>
    <t>P2</t>
  </si>
  <si>
    <t>Sterilizations</t>
  </si>
  <si>
    <t>DESIGN DEVELOPMENT OR INSTALLATION OF MMIS*</t>
  </si>
  <si>
    <t>OPERATION OF AN APPROVED MMIS*:</t>
  </si>
  <si>
    <t>R2 Per Member Per Month (PMPM) Costs (Totals weighted on Retrospective Year 2 Member Months)</t>
  </si>
  <si>
    <t>Total Projected Waiver Expenditures P1(P1 MMs)</t>
  </si>
  <si>
    <t>Total Projected Waiver Expenditures P2 (P2 MMs)</t>
  </si>
  <si>
    <t xml:space="preserve">State: </t>
  </si>
  <si>
    <t>P1      =</t>
  </si>
  <si>
    <t>P2       =</t>
  </si>
  <si>
    <t xml:space="preserve">Actual Enrollment for the Time Period - </t>
  </si>
  <si>
    <t>through</t>
  </si>
  <si>
    <t>Estimated Member Month Calculations</t>
  </si>
  <si>
    <t>Enrollment Projections for the Time Period  -</t>
  </si>
  <si>
    <t>*Projections start on Quarter and include data for requested waiver period</t>
  </si>
  <si>
    <t>R2      =</t>
  </si>
  <si>
    <t>**R1 and R2 include actual data and dates used in conversion - no estimates</t>
  </si>
  <si>
    <t>R1     =</t>
  </si>
  <si>
    <t>NUMBER OF DAYS OF DATA</t>
  </si>
  <si>
    <t>(Days-365)</t>
  </si>
  <si>
    <t>(Days-364)</t>
  </si>
  <si>
    <t>TOTAL R2 to P1</t>
  </si>
  <si>
    <t>TOTAL R2 to P2</t>
  </si>
  <si>
    <t>State:</t>
  </si>
  <si>
    <t>Use Quarter Starting Dates on Appendix D1.  Appendix D6 will automatically become Quarter Ending Dates to sync with CMS-64.</t>
  </si>
  <si>
    <t xml:space="preserve">2 Year </t>
  </si>
  <si>
    <t>5 Year</t>
  </si>
  <si>
    <t>Projected Quarter 9</t>
  </si>
  <si>
    <t>Projected Quarter 10</t>
  </si>
  <si>
    <t>Projected Quarter 11</t>
  </si>
  <si>
    <t>Projected Quarter 12</t>
  </si>
  <si>
    <t>Projected Year 3</t>
  </si>
  <si>
    <t>Projected Quarter 13</t>
  </si>
  <si>
    <t>Projected Quarter 14</t>
  </si>
  <si>
    <t>Projected Quarter 15</t>
  </si>
  <si>
    <t>Projected Quarter 16</t>
  </si>
  <si>
    <t>Projected Year 4</t>
  </si>
  <si>
    <t>(P3)</t>
  </si>
  <si>
    <t>(P4)</t>
  </si>
  <si>
    <t>Projected Quarter 17</t>
  </si>
  <si>
    <t>Projected Quarter 18</t>
  </si>
  <si>
    <t>Projected Quarter 19</t>
  </si>
  <si>
    <t>Projected Quarter 20</t>
  </si>
  <si>
    <t>Projected Year 5</t>
  </si>
  <si>
    <t>(P5)</t>
  </si>
  <si>
    <t>Annualized % Increase</t>
  </si>
  <si>
    <t>R1 to R2</t>
  </si>
  <si>
    <t>R2 to P1</t>
  </si>
  <si>
    <t>P1 to P2</t>
  </si>
  <si>
    <t>P2 to P3</t>
  </si>
  <si>
    <t>P3 to P4</t>
  </si>
  <si>
    <t>P4 to P5</t>
  </si>
  <si>
    <t>R2 to P2</t>
  </si>
  <si>
    <t>R2 to P5</t>
  </si>
  <si>
    <t xml:space="preserve">To modify the formulas as necessary to fit the length of the program complete this section.  </t>
  </si>
  <si>
    <t>The formulas will automatically update given this data.</t>
  </si>
  <si>
    <t>Prospective Years 1 through 5 (P1 - P5) or Years 1 though 2 (P1 -P2)</t>
  </si>
  <si>
    <t>P3      =</t>
  </si>
  <si>
    <t>P4       =</t>
  </si>
  <si>
    <t>P5       =</t>
  </si>
  <si>
    <t>P3</t>
  </si>
  <si>
    <t>P4</t>
  </si>
  <si>
    <t>P5</t>
  </si>
  <si>
    <t>TOTAL R2 to P3</t>
  </si>
  <si>
    <t>TOTAL R2 to P4</t>
  </si>
  <si>
    <t>TOTAL R2 to P5</t>
  </si>
  <si>
    <t>P3 PMPM Casemix for R2 (R2 MMs)</t>
  </si>
  <si>
    <t>P2 Per Member Per Month (PMPM) Costs</t>
  </si>
  <si>
    <t>Prospective Year 3 (P3) Projection for State Plan Services**</t>
  </si>
  <si>
    <t>Total P3 PMPM</t>
  </si>
  <si>
    <t>P3 Projection for Incentive Costs not Included in Capitation Rates**</t>
  </si>
  <si>
    <t>(Annual Year 3)</t>
  </si>
  <si>
    <t>P3 Projection for 1915(b)(3) Service Costs**</t>
  </si>
  <si>
    <t>P3 Projection for Administration Costs**</t>
  </si>
  <si>
    <t>P4 PMPM Casemix for R2 (R2 MMs)</t>
  </si>
  <si>
    <t>P4 PMPM</t>
  </si>
  <si>
    <t>P4 Per Member Per Month (PMPM) Costs</t>
  </si>
  <si>
    <t>P3 PMPM</t>
  </si>
  <si>
    <t>P3 Per Member Per Month (PMPM) Costs</t>
  </si>
  <si>
    <t>Prospective Year 4 (P4) Projection for State Plan Services**</t>
  </si>
  <si>
    <t>Total P4 PMPM</t>
  </si>
  <si>
    <t>P4 Projection for Incentive Costs not Included in Capitation Rates**</t>
  </si>
  <si>
    <t>(Annual Year 4)</t>
  </si>
  <si>
    <t>P4 Projection for 1915(b)(3) Service Costs**</t>
  </si>
  <si>
    <t>P4 Projection for Administration Costs**</t>
  </si>
  <si>
    <t>P5 Projection for Administration Costs**</t>
  </si>
  <si>
    <t>(Annual Year 5)</t>
  </si>
  <si>
    <t>Total P5 PMPM</t>
  </si>
  <si>
    <t>P5 Projection for 1915(b)(3) Service Costs**</t>
  </si>
  <si>
    <t>P5 Projection for Incentive Costs not Included in Capitation Rates**</t>
  </si>
  <si>
    <t>Prospective Year 5 (P2) Projection for State Plan Services**</t>
  </si>
  <si>
    <t>P5 PMPM Casemix for R2 (R2 MMs)</t>
  </si>
  <si>
    <t>Q9 Quarterly Projected Costs</t>
  </si>
  <si>
    <t>Q10 Quarterly Projected Costs</t>
  </si>
  <si>
    <t>Q11 Quarterly Projected Costs</t>
  </si>
  <si>
    <t>Q12 Quarterly Projected Costs</t>
  </si>
  <si>
    <t>Q13 Quarterly Projected Costs</t>
  </si>
  <si>
    <t>Q14 Quarterly Projected Costs</t>
  </si>
  <si>
    <t>Q15 Quarterly Projected Costs</t>
  </si>
  <si>
    <t>Q16 Quarterly Projected Costs</t>
  </si>
  <si>
    <t>Q17 Quarterly Projected Costs</t>
  </si>
  <si>
    <t>Q18 Quarterly Projected Costs</t>
  </si>
  <si>
    <t>Q19 Quarterly Projected Costs</t>
  </si>
  <si>
    <t>Q20 Quarterly Projected Costs</t>
  </si>
  <si>
    <t>P5 Weighted Average PMPM Casemix for P5 (P5 MMs)</t>
  </si>
  <si>
    <t>P4 Weighted Average PMPM Casemix for P4 (P4 MMs)</t>
  </si>
  <si>
    <t>P3 Weighted Average PMPM Casemix for P3 (P3 MMs)</t>
  </si>
  <si>
    <t>Q9 Quarterly Actual Costs</t>
  </si>
  <si>
    <t>Q10 Quarterly Actual Costs</t>
  </si>
  <si>
    <t>Q11 Quarterly Actual Costs</t>
  </si>
  <si>
    <t>Q12 Quarterly Actual Costs</t>
  </si>
  <si>
    <t>Q13 Quarterly Actual Costs</t>
  </si>
  <si>
    <t>Q14 Quarterly Actual Costs</t>
  </si>
  <si>
    <t>Q15 Quarterly Actual Costs</t>
  </si>
  <si>
    <t>Q16 Quarterly Actual Costs</t>
  </si>
  <si>
    <t>Q17 Quarterly Actual Costs</t>
  </si>
  <si>
    <t>Q18 Quarterly Actual Costs</t>
  </si>
  <si>
    <t>Q19 Quarterly Actual Costs</t>
  </si>
  <si>
    <t>Q20 Quarterly Actual Costs</t>
  </si>
  <si>
    <t>R1 to P5 Change</t>
  </si>
  <si>
    <t>P3 Projected PMPM Costs (Totals weighted on Projected Year 3 Member Months)</t>
  </si>
  <si>
    <t>P4 Projected PMPM Costs (Totals weighted on Projected Year 4 Member Months)</t>
  </si>
  <si>
    <t>P5 Projected PMPM Costs (Totals weighted on Projected Year 5 Member Months)</t>
  </si>
  <si>
    <t>P2 to P3 Change</t>
  </si>
  <si>
    <t>P3 to P4 Change</t>
  </si>
  <si>
    <t>P4 to P5 Change</t>
  </si>
  <si>
    <t>Year 3</t>
  </si>
  <si>
    <t>Year 4</t>
  </si>
  <si>
    <t>Year 5</t>
  </si>
  <si>
    <t>P5 PMPM</t>
  </si>
  <si>
    <t>Year 1 - 5</t>
  </si>
  <si>
    <t>(SUM of P1:P5)</t>
  </si>
  <si>
    <t>Total Projected Waiver Expenditures P1:P5 (Casemix for P1 through P5)</t>
  </si>
  <si>
    <t>P3 Weighted Average PMPM Casemix for P2 (P2 MMs)</t>
  </si>
  <si>
    <t>Total Projected Waiver Expenditures P3 (P3 MMs)</t>
  </si>
  <si>
    <t>Total Projected Waiver Expenditures P4 (P4 MMs)</t>
  </si>
  <si>
    <t>P4 Weighted Average PMPM Casemix for P3 (P3 MMs)</t>
  </si>
  <si>
    <t>Total Projected Waiver Expenditures P5 (P5 MMs)</t>
  </si>
  <si>
    <t>P5 Weighted Average PMPM Casemix for P4 (P4 MMs)</t>
  </si>
  <si>
    <t>% Increase</t>
  </si>
  <si>
    <t>see below*</t>
  </si>
  <si>
    <t>*Annualize and Regular Increase is the same over a normal 1 year period.</t>
  </si>
  <si>
    <t>Institutional</t>
  </si>
  <si>
    <t>Community</t>
  </si>
  <si>
    <t>Community - EW</t>
  </si>
  <si>
    <t>Minnesota</t>
  </si>
  <si>
    <t>P4 Per Member Per Month (PMPM) Costs from the prior waiver submission</t>
  </si>
  <si>
    <t>P5 Per Member Per Month (PMPM) Costs from the prior waiver submission</t>
  </si>
  <si>
    <t>Total Previous P4 Projection using R1 member months</t>
  </si>
  <si>
    <t>Total Previous P5 Projection using R2 member months</t>
  </si>
  <si>
    <t>R2 Overall PMPM Casemix for R2 (R2 MMs)</t>
  </si>
  <si>
    <t>Note:  R1 period matches 13 monthly pmts in CMS 64 for SFY 2020</t>
  </si>
  <si>
    <t>Because service PMPMs for R2 represent a partial year with a rate increase occurring mid-year Minnesota wishes to</t>
  </si>
  <si>
    <t>project PMPMs for P1 to P5 based on R1 PMPMs.  Thus we calculate this inflation adjustment to get from R2 to P1:</t>
  </si>
  <si>
    <t>Factor from</t>
  </si>
  <si>
    <t>Part-Year</t>
  </si>
  <si>
    <t>Full Year</t>
  </si>
  <si>
    <t>R2 Inflation</t>
  </si>
  <si>
    <t>Part Year to</t>
  </si>
  <si>
    <t>PMPM for Services</t>
  </si>
  <si>
    <t>Jan. 2021 Rate</t>
  </si>
  <si>
    <t>Increases</t>
  </si>
  <si>
    <t>Exceed Infl. Adj.</t>
  </si>
  <si>
    <t>@ 6.17%</t>
  </si>
  <si>
    <t>Over R1</t>
  </si>
  <si>
    <t xml:space="preserve">Adding </t>
  </si>
  <si>
    <t>Inflation for</t>
  </si>
  <si>
    <t>Note:</t>
  </si>
  <si>
    <t>Admin. PMPM trended at 2% from R1.</t>
  </si>
  <si>
    <t>PMAP</t>
  </si>
  <si>
    <t xml:space="preserve">Housing Stabilization Services </t>
  </si>
  <si>
    <t>CFSS Replaces</t>
  </si>
  <si>
    <t>PCA</t>
  </si>
  <si>
    <t>1915(i) Services</t>
  </si>
  <si>
    <t>1915(c) Services</t>
  </si>
  <si>
    <t>1915(k) Services</t>
  </si>
  <si>
    <t>CFSS - Personal Care Assistance *</t>
  </si>
  <si>
    <t>CFSS - Personal Emergency Response Systems *</t>
  </si>
  <si>
    <t>CFSS - Individual Directed Goods and Services *</t>
  </si>
  <si>
    <t>CFSS - Financial Management Services 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</si>
</sst>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General_)"/>
    <numFmt numFmtId="166" formatCode="_(* #,##0_);_(* \(#,##0\);_(* &quot;-&quot;??_);_(@_)"/>
    <numFmt numFmtId="167" formatCode="_(&quot;$&quot;* #,##0_);_(&quot;$&quot;* \(#,##0\);_(&quot;$&quot;* &quot;-&quot;??_);_(@_)"/>
    <numFmt numFmtId="168" formatCode="&quot;$&quot;#,##0"/>
    <numFmt numFmtId="169" formatCode="0.000%"/>
    <numFmt numFmtId="170" formatCode="_(* #,##0.0000_);_(* \(#,##0.0000\);_(* &quot;-&quot;??_);_(@_)"/>
    <numFmt numFmtId="171" formatCode="[$-409]mmmm\ d\,\ yyyy;@"/>
    <numFmt numFmtId="172" formatCode="m/d/yy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Helv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u/>
      <sz val="8"/>
      <name val="Arial"/>
      <family val="2"/>
    </font>
    <font>
      <b/>
      <i/>
      <sz val="10"/>
      <name val="Arial"/>
      <family val="2"/>
    </font>
    <font>
      <sz val="8"/>
      <name val="Helv"/>
    </font>
    <font>
      <sz val="10"/>
      <name val="Helv"/>
    </font>
    <font>
      <b/>
      <u/>
      <sz val="10"/>
      <name val="Arial"/>
      <family val="2"/>
    </font>
    <font>
      <sz val="12"/>
      <name val="Arial"/>
      <family val="2"/>
    </font>
    <font>
      <b/>
      <sz val="14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0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/>
      <bottom style="thin">
        <color indexed="64"/>
      </bottom>
      <diagonal/>
    </border>
    <border>
      <left style="thin">
        <color indexed="22"/>
      </left>
      <right/>
      <top/>
      <bottom style="thin">
        <color indexed="64"/>
      </bottom>
      <diagonal/>
    </border>
    <border>
      <left style="thin">
        <color indexed="22"/>
      </left>
      <right style="thin">
        <color indexed="64"/>
      </right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2"/>
      </right>
      <top/>
      <bottom style="thin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0">
    <xf numFmtId="0" fontId="0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37" fontId="13" fillId="0" borderId="0"/>
    <xf numFmtId="165" fontId="5" fillId="0" borderId="0"/>
    <xf numFmtId="9" fontId="4" fillId="0" borderId="0" applyFont="0" applyFill="0" applyBorder="0" applyAlignment="0" applyProtection="0"/>
    <xf numFmtId="0" fontId="15" fillId="0" borderId="0"/>
    <xf numFmtId="0" fontId="3" fillId="0" borderId="0"/>
    <xf numFmtId="43" fontId="3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549">
    <xf numFmtId="0" fontId="0" fillId="0" borderId="0" xfId="0"/>
    <xf numFmtId="0" fontId="6" fillId="0" borderId="0" xfId="4" applyFont="1" applyAlignment="1">
      <alignment horizontal="center" vertical="center" wrapText="1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vertical="center"/>
    </xf>
    <xf numFmtId="0" fontId="6" fillId="0" borderId="0" xfId="0" applyFont="1" applyAlignment="1">
      <alignment horizontal="center" vertical="center"/>
    </xf>
    <xf numFmtId="165" fontId="7" fillId="0" borderId="0" xfId="6" applyFont="1" applyAlignment="1">
      <alignment horizontal="centerContinuous" vertical="center"/>
    </xf>
    <xf numFmtId="0" fontId="8" fillId="0" borderId="0" xfId="0" applyFont="1" applyAlignment="1">
      <alignment horizontal="centerContinuous" vertical="center"/>
    </xf>
    <xf numFmtId="0" fontId="8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3" fontId="6" fillId="0" borderId="1" xfId="0" applyNumberFormat="1" applyFont="1" applyBorder="1" applyAlignment="1">
      <alignment vertical="center"/>
    </xf>
    <xf numFmtId="3" fontId="6" fillId="0" borderId="0" xfId="6" quotePrefix="1" applyNumberFormat="1" applyFont="1" applyAlignment="1">
      <alignment horizontal="right" vertical="center"/>
    </xf>
    <xf numFmtId="3" fontId="6" fillId="0" borderId="2" xfId="0" applyNumberFormat="1" applyFont="1" applyBorder="1" applyAlignment="1">
      <alignment vertical="center"/>
    </xf>
    <xf numFmtId="166" fontId="9" fillId="0" borderId="3" xfId="1" quotePrefix="1" applyNumberFormat="1" applyFont="1" applyBorder="1" applyAlignment="1">
      <alignment horizontal="right" vertical="center"/>
    </xf>
    <xf numFmtId="10" fontId="8" fillId="0" borderId="0" xfId="0" applyNumberFormat="1" applyFont="1" applyAlignment="1">
      <alignment vertical="center"/>
    </xf>
    <xf numFmtId="3" fontId="8" fillId="0" borderId="0" xfId="0" applyNumberFormat="1" applyFont="1" applyAlignment="1">
      <alignment vertical="center"/>
    </xf>
    <xf numFmtId="165" fontId="6" fillId="0" borderId="0" xfId="6" applyFont="1" applyAlignment="1">
      <alignment vertical="center"/>
    </xf>
    <xf numFmtId="0" fontId="6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165" fontId="7" fillId="0" borderId="0" xfId="6" applyFont="1" applyAlignment="1">
      <alignment horizontal="centerContinuous"/>
    </xf>
    <xf numFmtId="0" fontId="8" fillId="0" borderId="0" xfId="0" applyFont="1" applyAlignment="1">
      <alignment horizontal="centerContinuous"/>
    </xf>
    <xf numFmtId="0" fontId="8" fillId="0" borderId="0" xfId="0" applyFont="1" applyAlignment="1">
      <alignment horizontal="left"/>
    </xf>
    <xf numFmtId="0" fontId="8" fillId="0" borderId="0" xfId="0" applyFont="1"/>
    <xf numFmtId="165" fontId="7" fillId="0" borderId="0" xfId="6" applyFont="1" applyAlignment="1">
      <alignment horizontal="left"/>
    </xf>
    <xf numFmtId="165" fontId="7" fillId="0" borderId="0" xfId="6" quotePrefix="1" applyFont="1" applyAlignment="1">
      <alignment horizontal="left"/>
    </xf>
    <xf numFmtId="165" fontId="9" fillId="0" borderId="0" xfId="6" applyFont="1" applyAlignment="1">
      <alignment horizontal="centerContinuous"/>
    </xf>
    <xf numFmtId="0" fontId="6" fillId="0" borderId="0" xfId="0" applyFont="1" applyAlignment="1">
      <alignment horizontal="centerContinuous"/>
    </xf>
    <xf numFmtId="0" fontId="6" fillId="0" borderId="0" xfId="0" applyFont="1" applyAlignment="1">
      <alignment horizontal="left"/>
    </xf>
    <xf numFmtId="0" fontId="9" fillId="2" borderId="4" xfId="0" applyFont="1" applyFill="1" applyBorder="1" applyAlignment="1">
      <alignment horizontal="centerContinuous"/>
    </xf>
    <xf numFmtId="165" fontId="6" fillId="0" borderId="0" xfId="6" applyFont="1"/>
    <xf numFmtId="165" fontId="6" fillId="0" borderId="0" xfId="6" quotePrefix="1" applyFont="1" applyAlignment="1">
      <alignment horizontal="left"/>
    </xf>
    <xf numFmtId="0" fontId="6" fillId="0" borderId="0" xfId="0" applyFont="1"/>
    <xf numFmtId="0" fontId="10" fillId="0" borderId="0" xfId="0" applyFont="1"/>
    <xf numFmtId="0" fontId="8" fillId="0" borderId="0" xfId="0" applyFont="1" applyAlignment="1">
      <alignment horizontal="center"/>
    </xf>
    <xf numFmtId="0" fontId="8" fillId="0" borderId="0" xfId="4" applyFont="1" applyAlignment="1">
      <alignment horizontal="centerContinuous" vertical="center"/>
    </xf>
    <xf numFmtId="0" fontId="8" fillId="0" borderId="0" xfId="4" applyFont="1" applyAlignment="1">
      <alignment vertical="center"/>
    </xf>
    <xf numFmtId="165" fontId="9" fillId="0" borderId="0" xfId="6" applyFont="1" applyAlignment="1">
      <alignment horizontal="centerContinuous" vertical="center" wrapText="1"/>
    </xf>
    <xf numFmtId="0" fontId="6" fillId="0" borderId="0" xfId="4" applyFont="1" applyAlignment="1">
      <alignment horizontal="centerContinuous" vertical="center"/>
    </xf>
    <xf numFmtId="165" fontId="9" fillId="0" borderId="0" xfId="6" applyFont="1" applyAlignment="1">
      <alignment horizontal="centerContinuous" vertical="center"/>
    </xf>
    <xf numFmtId="0" fontId="6" fillId="0" borderId="0" xfId="4" applyFont="1" applyAlignment="1">
      <alignment vertical="center" wrapText="1"/>
    </xf>
    <xf numFmtId="0" fontId="9" fillId="0" borderId="0" xfId="4" applyFont="1" applyAlignment="1">
      <alignment horizontal="centerContinuous" vertical="center" wrapText="1"/>
    </xf>
    <xf numFmtId="0" fontId="9" fillId="0" borderId="0" xfId="4" applyFont="1" applyAlignment="1">
      <alignment horizontal="center" vertical="center" wrapText="1"/>
    </xf>
    <xf numFmtId="0" fontId="9" fillId="0" borderId="0" xfId="4" applyFont="1" applyAlignment="1">
      <alignment horizontal="center"/>
    </xf>
    <xf numFmtId="2" fontId="9" fillId="0" borderId="0" xfId="4" applyNumberFormat="1" applyFont="1" applyAlignment="1">
      <alignment horizontal="center" wrapText="1"/>
    </xf>
    <xf numFmtId="0" fontId="9" fillId="0" borderId="0" xfId="4" applyFont="1" applyAlignment="1">
      <alignment horizontal="center" wrapText="1"/>
    </xf>
    <xf numFmtId="166" fontId="6" fillId="0" borderId="5" xfId="1" applyNumberFormat="1" applyFont="1" applyBorder="1" applyAlignment="1">
      <alignment vertical="center" wrapText="1"/>
    </xf>
    <xf numFmtId="167" fontId="6" fillId="0" borderId="1" xfId="2" applyNumberFormat="1" applyFont="1" applyFill="1" applyBorder="1" applyAlignment="1">
      <alignment horizontal="center" vertical="center" wrapText="1"/>
    </xf>
    <xf numFmtId="167" fontId="6" fillId="0" borderId="1" xfId="2" applyNumberFormat="1" applyFont="1" applyBorder="1" applyAlignment="1">
      <alignment horizontal="center" vertical="center" wrapText="1"/>
    </xf>
    <xf numFmtId="167" fontId="9" fillId="0" borderId="5" xfId="2" applyNumberFormat="1" applyFont="1" applyBorder="1" applyAlignment="1">
      <alignment horizontal="center" vertical="center" wrapText="1"/>
    </xf>
    <xf numFmtId="44" fontId="6" fillId="0" borderId="1" xfId="2" applyFont="1" applyBorder="1" applyAlignment="1">
      <alignment horizontal="center" vertical="center" wrapText="1"/>
    </xf>
    <xf numFmtId="44" fontId="9" fillId="0" borderId="5" xfId="2" applyFont="1" applyBorder="1" applyAlignment="1">
      <alignment horizontal="center" vertical="center" wrapText="1"/>
    </xf>
    <xf numFmtId="2" fontId="9" fillId="0" borderId="0" xfId="4" applyNumberFormat="1" applyFont="1" applyAlignment="1">
      <alignment horizontal="center" vertical="center" wrapText="1"/>
    </xf>
    <xf numFmtId="4" fontId="6" fillId="0" borderId="0" xfId="4" applyNumberFormat="1" applyFont="1" applyAlignment="1">
      <alignment vertical="center"/>
    </xf>
    <xf numFmtId="2" fontId="6" fillId="0" borderId="0" xfId="4" applyNumberFormat="1" applyFont="1" applyAlignment="1">
      <alignment vertical="center"/>
    </xf>
    <xf numFmtId="166" fontId="6" fillId="0" borderId="6" xfId="1" applyNumberFormat="1" applyFont="1" applyBorder="1" applyAlignment="1">
      <alignment vertical="center" wrapText="1"/>
    </xf>
    <xf numFmtId="167" fontId="6" fillId="0" borderId="2" xfId="2" applyNumberFormat="1" applyFont="1" applyBorder="1" applyAlignment="1">
      <alignment horizontal="center" vertical="center" wrapText="1"/>
    </xf>
    <xf numFmtId="167" fontId="9" fillId="0" borderId="6" xfId="2" applyNumberFormat="1" applyFont="1" applyBorder="1" applyAlignment="1">
      <alignment horizontal="center" vertical="center" wrapText="1"/>
    </xf>
    <xf numFmtId="0" fontId="9" fillId="0" borderId="9" xfId="4" applyFont="1" applyBorder="1" applyAlignment="1">
      <alignment vertical="center" wrapText="1"/>
    </xf>
    <xf numFmtId="167" fontId="9" fillId="0" borderId="10" xfId="2" applyNumberFormat="1" applyFont="1" applyFill="1" applyBorder="1" applyAlignment="1">
      <alignment horizontal="center" vertical="center" wrapText="1"/>
    </xf>
    <xf numFmtId="167" fontId="9" fillId="0" borderId="11" xfId="2" applyNumberFormat="1" applyFont="1" applyFill="1" applyBorder="1" applyAlignment="1">
      <alignment horizontal="center" vertical="center" wrapText="1"/>
    </xf>
    <xf numFmtId="167" fontId="9" fillId="0" borderId="12" xfId="2" applyNumberFormat="1" applyFont="1" applyFill="1" applyBorder="1" applyAlignment="1">
      <alignment horizontal="center" vertical="center" wrapText="1"/>
    </xf>
    <xf numFmtId="0" fontId="6" fillId="0" borderId="13" xfId="4" applyFont="1" applyBorder="1" applyAlignment="1">
      <alignment vertical="center"/>
    </xf>
    <xf numFmtId="0" fontId="6" fillId="0" borderId="14" xfId="4" applyFont="1" applyBorder="1" applyAlignment="1">
      <alignment vertical="center"/>
    </xf>
    <xf numFmtId="44" fontId="9" fillId="0" borderId="14" xfId="2" applyFont="1" applyFill="1" applyBorder="1" applyAlignment="1">
      <alignment horizontal="center" vertical="center" wrapText="1"/>
    </xf>
    <xf numFmtId="0" fontId="6" fillId="0" borderId="0" xfId="4" applyFont="1" applyAlignment="1">
      <alignment horizontal="centerContinuous" vertical="center" wrapText="1"/>
    </xf>
    <xf numFmtId="0" fontId="6" fillId="0" borderId="0" xfId="4" applyFont="1" applyAlignment="1">
      <alignment horizontal="left" vertical="center" wrapText="1"/>
    </xf>
    <xf numFmtId="165" fontId="7" fillId="0" borderId="0" xfId="6" applyFont="1" applyAlignment="1">
      <alignment horizontal="centerContinuous" vertical="center" wrapText="1"/>
    </xf>
    <xf numFmtId="165" fontId="8" fillId="0" borderId="0" xfId="6" applyFont="1" applyAlignment="1">
      <alignment vertical="center"/>
    </xf>
    <xf numFmtId="0" fontId="8" fillId="0" borderId="1" xfId="0" quotePrefix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0" xfId="0" applyFont="1" applyAlignment="1">
      <alignment vertical="center" wrapText="1"/>
    </xf>
    <xf numFmtId="165" fontId="8" fillId="0" borderId="0" xfId="6" applyFont="1" applyAlignment="1">
      <alignment horizontal="centerContinuous" vertical="center"/>
    </xf>
    <xf numFmtId="0" fontId="6" fillId="0" borderId="0" xfId="0" applyFont="1" applyAlignment="1">
      <alignment horizontal="centerContinuous" vertical="center"/>
    </xf>
    <xf numFmtId="0" fontId="6" fillId="0" borderId="0" xfId="0" applyFont="1" applyAlignment="1">
      <alignment vertical="center" wrapText="1"/>
    </xf>
    <xf numFmtId="0" fontId="9" fillId="2" borderId="15" xfId="0" applyFont="1" applyFill="1" applyBorder="1" applyAlignment="1">
      <alignment horizontal="centerContinuous" vertical="center"/>
    </xf>
    <xf numFmtId="0" fontId="9" fillId="2" borderId="16" xfId="0" applyFont="1" applyFill="1" applyBorder="1" applyAlignment="1">
      <alignment horizontal="centerContinuous" vertical="center"/>
    </xf>
    <xf numFmtId="0" fontId="9" fillId="2" borderId="17" xfId="0" applyFont="1" applyFill="1" applyBorder="1" applyAlignment="1">
      <alignment horizontal="centerContinuous" vertical="center" wrapText="1"/>
    </xf>
    <xf numFmtId="0" fontId="9" fillId="2" borderId="15" xfId="0" applyFont="1" applyFill="1" applyBorder="1" applyAlignment="1">
      <alignment horizontal="centerContinuous" vertical="center" wrapText="1"/>
    </xf>
    <xf numFmtId="0" fontId="9" fillId="2" borderId="16" xfId="0" applyFont="1" applyFill="1" applyBorder="1" applyAlignment="1">
      <alignment horizontal="centerContinuous" vertical="center" wrapText="1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vertical="center"/>
    </xf>
    <xf numFmtId="0" fontId="9" fillId="2" borderId="18" xfId="4" applyFont="1" applyFill="1" applyBorder="1" applyAlignment="1">
      <alignment horizontal="center" wrapText="1"/>
    </xf>
    <xf numFmtId="0" fontId="9" fillId="2" borderId="2" xfId="4" applyFont="1" applyFill="1" applyBorder="1" applyAlignment="1">
      <alignment horizontal="center" wrapText="1"/>
    </xf>
    <xf numFmtId="0" fontId="9" fillId="2" borderId="6" xfId="4" quotePrefix="1" applyFont="1" applyFill="1" applyBorder="1" applyAlignment="1">
      <alignment horizontal="center" wrapText="1"/>
    </xf>
    <xf numFmtId="0" fontId="6" fillId="0" borderId="0" xfId="0" applyFont="1" applyAlignment="1">
      <alignment wrapText="1"/>
    </xf>
    <xf numFmtId="0" fontId="9" fillId="2" borderId="19" xfId="4" applyFont="1" applyFill="1" applyBorder="1" applyAlignment="1">
      <alignment horizontal="center" wrapText="1"/>
    </xf>
    <xf numFmtId="0" fontId="9" fillId="2" borderId="13" xfId="4" applyFont="1" applyFill="1" applyBorder="1" applyAlignment="1">
      <alignment horizontal="center" wrapText="1"/>
    </xf>
    <xf numFmtId="0" fontId="9" fillId="2" borderId="20" xfId="4" applyFont="1" applyFill="1" applyBorder="1" applyAlignment="1">
      <alignment horizontal="center" wrapText="1"/>
    </xf>
    <xf numFmtId="0" fontId="9" fillId="2" borderId="13" xfId="4" quotePrefix="1" applyFont="1" applyFill="1" applyBorder="1" applyAlignment="1">
      <alignment horizontal="center" wrapText="1"/>
    </xf>
    <xf numFmtId="0" fontId="9" fillId="2" borderId="21" xfId="4" applyFont="1" applyFill="1" applyBorder="1" applyAlignment="1">
      <alignment horizontal="center" vertical="center" wrapText="1"/>
    </xf>
    <xf numFmtId="0" fontId="9" fillId="2" borderId="21" xfId="4" quotePrefix="1" applyFont="1" applyFill="1" applyBorder="1" applyAlignment="1">
      <alignment horizontal="center" vertical="center" wrapText="1"/>
    </xf>
    <xf numFmtId="0" fontId="9" fillId="2" borderId="22" xfId="4" quotePrefix="1" applyFont="1" applyFill="1" applyBorder="1" applyAlignment="1">
      <alignment horizontal="center" vertical="center" wrapText="1"/>
    </xf>
    <xf numFmtId="0" fontId="9" fillId="2" borderId="23" xfId="4" quotePrefix="1" applyFont="1" applyFill="1" applyBorder="1" applyAlignment="1">
      <alignment horizontal="center" vertical="center" wrapText="1"/>
    </xf>
    <xf numFmtId="44" fontId="6" fillId="0" borderId="24" xfId="2" applyFont="1" applyFill="1" applyBorder="1" applyAlignment="1">
      <alignment horizontal="center" vertical="center" wrapText="1"/>
    </xf>
    <xf numFmtId="44" fontId="6" fillId="0" borderId="1" xfId="2" applyFont="1" applyFill="1" applyBorder="1" applyAlignment="1">
      <alignment horizontal="center" vertical="center" wrapText="1"/>
    </xf>
    <xf numFmtId="4" fontId="6" fillId="0" borderId="0" xfId="0" applyNumberFormat="1" applyFont="1" applyAlignment="1">
      <alignment vertical="center"/>
    </xf>
    <xf numFmtId="164" fontId="6" fillId="0" borderId="0" xfId="0" applyNumberFormat="1" applyFont="1" applyAlignment="1">
      <alignment vertical="center"/>
    </xf>
    <xf numFmtId="2" fontId="6" fillId="0" borderId="0" xfId="0" applyNumberFormat="1" applyFont="1" applyAlignment="1">
      <alignment vertical="center"/>
    </xf>
    <xf numFmtId="4" fontId="9" fillId="0" borderId="0" xfId="0" applyNumberFormat="1" applyFont="1" applyAlignment="1">
      <alignment vertical="center"/>
    </xf>
    <xf numFmtId="165" fontId="6" fillId="0" borderId="0" xfId="6" applyFont="1" applyAlignment="1">
      <alignment horizontal="centerContinuous" vertical="center" wrapText="1"/>
    </xf>
    <xf numFmtId="3" fontId="6" fillId="0" borderId="0" xfId="6" applyNumberFormat="1" applyFont="1" applyAlignment="1">
      <alignment horizontal="centerContinuous" vertical="center"/>
    </xf>
    <xf numFmtId="3" fontId="6" fillId="0" borderId="0" xfId="6" quotePrefix="1" applyNumberFormat="1" applyFont="1" applyAlignment="1">
      <alignment horizontal="centerContinuous" vertical="center"/>
    </xf>
    <xf numFmtId="165" fontId="6" fillId="0" borderId="0" xfId="6" applyFont="1" applyAlignment="1">
      <alignment vertical="center" wrapText="1"/>
    </xf>
    <xf numFmtId="3" fontId="6" fillId="0" borderId="0" xfId="6" applyNumberFormat="1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9" fillId="2" borderId="22" xfId="4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Continuous" vertical="center"/>
    </xf>
    <xf numFmtId="165" fontId="9" fillId="3" borderId="25" xfId="6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horizontal="centerContinuous" vertical="center"/>
    </xf>
    <xf numFmtId="0" fontId="9" fillId="3" borderId="16" xfId="0" applyFont="1" applyFill="1" applyBorder="1" applyAlignment="1">
      <alignment horizontal="centerContinuous" vertical="center"/>
    </xf>
    <xf numFmtId="165" fontId="9" fillId="3" borderId="19" xfId="6" applyFont="1" applyFill="1" applyBorder="1" applyAlignment="1">
      <alignment horizontal="center" vertical="center" wrapText="1"/>
    </xf>
    <xf numFmtId="0" fontId="9" fillId="3" borderId="2" xfId="4" applyFont="1" applyFill="1" applyBorder="1" applyAlignment="1">
      <alignment horizontal="center" vertical="center" wrapText="1"/>
    </xf>
    <xf numFmtId="0" fontId="9" fillId="3" borderId="6" xfId="4" applyFont="1" applyFill="1" applyBorder="1" applyAlignment="1">
      <alignment horizontal="center" vertical="center" wrapText="1"/>
    </xf>
    <xf numFmtId="0" fontId="9" fillId="3" borderId="13" xfId="4" applyFont="1" applyFill="1" applyBorder="1" applyAlignment="1">
      <alignment horizontal="center" vertical="center" wrapText="1"/>
    </xf>
    <xf numFmtId="0" fontId="9" fillId="3" borderId="20" xfId="4" applyFont="1" applyFill="1" applyBorder="1" applyAlignment="1">
      <alignment horizontal="center" vertical="center" wrapText="1"/>
    </xf>
    <xf numFmtId="0" fontId="9" fillId="3" borderId="13" xfId="4" quotePrefix="1" applyFont="1" applyFill="1" applyBorder="1" applyAlignment="1">
      <alignment horizontal="center" vertical="center" wrapText="1"/>
    </xf>
    <xf numFmtId="165" fontId="9" fillId="3" borderId="23" xfId="6" applyFont="1" applyFill="1" applyBorder="1" applyAlignment="1">
      <alignment horizontal="center" vertical="center" wrapText="1"/>
    </xf>
    <xf numFmtId="0" fontId="9" fillId="3" borderId="21" xfId="4" applyFont="1" applyFill="1" applyBorder="1" applyAlignment="1">
      <alignment horizontal="center" vertical="center" wrapText="1"/>
    </xf>
    <xf numFmtId="0" fontId="9" fillId="3" borderId="22" xfId="4" applyFont="1" applyFill="1" applyBorder="1" applyAlignment="1">
      <alignment horizontal="center" vertical="center" wrapText="1"/>
    </xf>
    <xf numFmtId="44" fontId="6" fillId="0" borderId="5" xfId="2" applyFont="1" applyBorder="1" applyAlignment="1">
      <alignment horizontal="center" vertical="center" wrapText="1"/>
    </xf>
    <xf numFmtId="44" fontId="6" fillId="0" borderId="21" xfId="2" applyFont="1" applyBorder="1" applyAlignment="1">
      <alignment horizontal="center" vertical="center" wrapText="1"/>
    </xf>
    <xf numFmtId="44" fontId="6" fillId="0" borderId="2" xfId="2" applyFont="1" applyBorder="1" applyAlignment="1">
      <alignment horizontal="center" vertical="center" wrapText="1"/>
    </xf>
    <xf numFmtId="44" fontId="6" fillId="0" borderId="6" xfId="2" applyFont="1" applyBorder="1" applyAlignment="1">
      <alignment horizontal="center" vertical="center" wrapText="1"/>
    </xf>
    <xf numFmtId="0" fontId="9" fillId="0" borderId="26" xfId="4" applyFont="1" applyBorder="1" applyAlignment="1">
      <alignment vertical="center" wrapText="1"/>
    </xf>
    <xf numFmtId="0" fontId="9" fillId="0" borderId="27" xfId="4" applyFont="1" applyBorder="1" applyAlignment="1">
      <alignment vertical="center" wrapText="1"/>
    </xf>
    <xf numFmtId="0" fontId="9" fillId="0" borderId="0" xfId="4" applyFont="1" applyAlignment="1">
      <alignment vertical="center" wrapText="1"/>
    </xf>
    <xf numFmtId="166" fontId="9" fillId="0" borderId="0" xfId="1" applyNumberFormat="1" applyFont="1" applyBorder="1" applyAlignment="1">
      <alignment vertical="center" wrapText="1"/>
    </xf>
    <xf numFmtId="44" fontId="9" fillId="0" borderId="0" xfId="2" applyFont="1" applyBorder="1" applyAlignment="1">
      <alignment horizontal="center" vertical="center" wrapText="1"/>
    </xf>
    <xf numFmtId="0" fontId="9" fillId="3" borderId="28" xfId="0" applyFont="1" applyFill="1" applyBorder="1" applyAlignment="1">
      <alignment horizontal="center" vertical="center"/>
    </xf>
    <xf numFmtId="0" fontId="9" fillId="3" borderId="17" xfId="0" applyFont="1" applyFill="1" applyBorder="1" applyAlignment="1">
      <alignment horizontal="centerContinuous" vertical="center"/>
    </xf>
    <xf numFmtId="0" fontId="9" fillId="3" borderId="18" xfId="4" applyFont="1" applyFill="1" applyBorder="1" applyAlignment="1">
      <alignment horizontal="center" vertical="center" wrapText="1"/>
    </xf>
    <xf numFmtId="0" fontId="9" fillId="3" borderId="19" xfId="4" applyFont="1" applyFill="1" applyBorder="1" applyAlignment="1">
      <alignment horizontal="center" vertical="center" wrapText="1"/>
    </xf>
    <xf numFmtId="0" fontId="9" fillId="3" borderId="23" xfId="4" applyFont="1" applyFill="1" applyBorder="1" applyAlignment="1">
      <alignment horizontal="center" vertical="center" wrapText="1"/>
    </xf>
    <xf numFmtId="166" fontId="6" fillId="0" borderId="22" xfId="1" applyNumberFormat="1" applyFont="1" applyBorder="1" applyAlignment="1">
      <alignment vertical="center" wrapText="1"/>
    </xf>
    <xf numFmtId="44" fontId="6" fillId="0" borderId="29" xfId="2" applyFont="1" applyBorder="1" applyAlignment="1">
      <alignment horizontal="center" vertical="center" wrapText="1"/>
    </xf>
    <xf numFmtId="0" fontId="9" fillId="0" borderId="30" xfId="4" applyFont="1" applyBorder="1" applyAlignment="1">
      <alignment vertical="center" wrapText="1"/>
    </xf>
    <xf numFmtId="166" fontId="9" fillId="0" borderId="30" xfId="1" applyNumberFormat="1" applyFont="1" applyBorder="1" applyAlignment="1">
      <alignment vertical="center" wrapText="1"/>
    </xf>
    <xf numFmtId="166" fontId="9" fillId="0" borderId="30" xfId="1" applyNumberFormat="1" applyFont="1" applyBorder="1" applyAlignment="1">
      <alignment vertical="center"/>
    </xf>
    <xf numFmtId="44" fontId="9" fillId="0" borderId="30" xfId="2" applyFont="1" applyBorder="1" applyAlignment="1">
      <alignment vertical="center" wrapText="1"/>
    </xf>
    <xf numFmtId="44" fontId="9" fillId="0" borderId="30" xfId="2" applyFont="1" applyBorder="1" applyAlignment="1">
      <alignment horizontal="center" vertical="center" wrapText="1"/>
    </xf>
    <xf numFmtId="44" fontId="9" fillId="0" borderId="30" xfId="2" applyFont="1" applyFill="1" applyBorder="1" applyAlignment="1">
      <alignment horizontal="center" vertical="center" wrapText="1"/>
    </xf>
    <xf numFmtId="0" fontId="9" fillId="0" borderId="30" xfId="0" applyFont="1" applyBorder="1" applyAlignment="1">
      <alignment vertical="center"/>
    </xf>
    <xf numFmtId="0" fontId="6" fillId="0" borderId="30" xfId="0" applyFont="1" applyBorder="1" applyAlignment="1">
      <alignment vertical="center"/>
    </xf>
    <xf numFmtId="168" fontId="9" fillId="0" borderId="30" xfId="0" applyNumberFormat="1" applyFont="1" applyBorder="1" applyAlignment="1">
      <alignment vertical="center"/>
    </xf>
    <xf numFmtId="0" fontId="9" fillId="0" borderId="31" xfId="0" quotePrefix="1" applyFont="1" applyBorder="1" applyAlignment="1">
      <alignment horizontal="left" vertical="center"/>
    </xf>
    <xf numFmtId="0" fontId="9" fillId="0" borderId="32" xfId="0" applyFont="1" applyBorder="1" applyAlignment="1">
      <alignment vertical="center"/>
    </xf>
    <xf numFmtId="168" fontId="9" fillId="0" borderId="33" xfId="0" applyNumberFormat="1" applyFont="1" applyBorder="1" applyAlignment="1">
      <alignment vertical="center"/>
    </xf>
    <xf numFmtId="44" fontId="9" fillId="0" borderId="0" xfId="2" applyFont="1" applyFill="1" applyBorder="1" applyAlignment="1">
      <alignment horizontal="center" vertical="center" wrapText="1"/>
    </xf>
    <xf numFmtId="2" fontId="9" fillId="0" borderId="0" xfId="0" applyNumberFormat="1" applyFont="1" applyAlignment="1">
      <alignment vertical="center"/>
    </xf>
    <xf numFmtId="165" fontId="9" fillId="3" borderId="34" xfId="6" applyFont="1" applyFill="1" applyBorder="1" applyAlignment="1">
      <alignment horizontal="center" vertical="center"/>
    </xf>
    <xf numFmtId="165" fontId="9" fillId="3" borderId="35" xfId="6" applyFont="1" applyFill="1" applyBorder="1" applyAlignment="1">
      <alignment horizontal="center" vertical="center" wrapText="1"/>
    </xf>
    <xf numFmtId="165" fontId="9" fillId="3" borderId="36" xfId="6" applyFont="1" applyFill="1" applyBorder="1" applyAlignment="1">
      <alignment horizontal="center" vertical="center" wrapText="1"/>
    </xf>
    <xf numFmtId="0" fontId="9" fillId="2" borderId="37" xfId="4" applyFont="1" applyFill="1" applyBorder="1" applyAlignment="1">
      <alignment horizontal="center" wrapText="1"/>
    </xf>
    <xf numFmtId="0" fontId="9" fillId="2" borderId="38" xfId="4" applyFont="1" applyFill="1" applyBorder="1" applyAlignment="1">
      <alignment horizontal="center" wrapText="1"/>
    </xf>
    <xf numFmtId="0" fontId="9" fillId="2" borderId="39" xfId="0" applyFont="1" applyFill="1" applyBorder="1" applyAlignment="1">
      <alignment horizontal="centerContinuous" vertical="center" wrapText="1"/>
    </xf>
    <xf numFmtId="0" fontId="9" fillId="2" borderId="20" xfId="4" quotePrefix="1" applyFont="1" applyFill="1" applyBorder="1" applyAlignment="1">
      <alignment horizontal="center" wrapText="1"/>
    </xf>
    <xf numFmtId="44" fontId="6" fillId="0" borderId="40" xfId="2" applyFont="1" applyFill="1" applyBorder="1" applyAlignment="1">
      <alignment horizontal="center" vertical="center" wrapText="1"/>
    </xf>
    <xf numFmtId="44" fontId="6" fillId="4" borderId="5" xfId="2" applyFont="1" applyFill="1" applyBorder="1" applyAlignment="1">
      <alignment horizontal="center" vertical="center" wrapText="1"/>
    </xf>
    <xf numFmtId="164" fontId="9" fillId="0" borderId="41" xfId="7" applyNumberFormat="1" applyFont="1" applyFill="1" applyBorder="1" applyAlignment="1">
      <alignment horizontal="center" vertical="center"/>
    </xf>
    <xf numFmtId="44" fontId="9" fillId="0" borderId="41" xfId="2" applyFont="1" applyFill="1" applyBorder="1" applyAlignment="1">
      <alignment horizontal="center" vertical="center" wrapText="1"/>
    </xf>
    <xf numFmtId="0" fontId="9" fillId="2" borderId="6" xfId="4" applyFont="1" applyFill="1" applyBorder="1" applyAlignment="1">
      <alignment horizontal="center" wrapText="1"/>
    </xf>
    <xf numFmtId="44" fontId="6" fillId="0" borderId="5" xfId="2" applyFont="1" applyFill="1" applyBorder="1" applyAlignment="1">
      <alignment horizontal="center" vertical="center" wrapText="1"/>
    </xf>
    <xf numFmtId="44" fontId="9" fillId="0" borderId="42" xfId="2" applyFont="1" applyFill="1" applyBorder="1" applyAlignment="1">
      <alignment horizontal="center" vertical="center" wrapText="1"/>
    </xf>
    <xf numFmtId="44" fontId="9" fillId="0" borderId="43" xfId="2" applyFont="1" applyFill="1" applyBorder="1" applyAlignment="1">
      <alignment horizontal="center" vertical="center" wrapText="1"/>
    </xf>
    <xf numFmtId="0" fontId="9" fillId="2" borderId="29" xfId="4" applyFont="1" applyFill="1" applyBorder="1" applyAlignment="1">
      <alignment horizontal="center" vertical="center" wrapText="1"/>
    </xf>
    <xf numFmtId="44" fontId="9" fillId="0" borderId="44" xfId="2" applyFont="1" applyFill="1" applyBorder="1" applyAlignment="1">
      <alignment horizontal="center" vertical="center" wrapText="1"/>
    </xf>
    <xf numFmtId="165" fontId="6" fillId="2" borderId="25" xfId="6" applyFont="1" applyFill="1" applyBorder="1" applyAlignment="1">
      <alignment horizontal="centerContinuous" vertical="center"/>
    </xf>
    <xf numFmtId="0" fontId="9" fillId="2" borderId="28" xfId="0" applyFont="1" applyFill="1" applyBorder="1" applyAlignment="1">
      <alignment horizontal="centerContinuous" vertical="center"/>
    </xf>
    <xf numFmtId="165" fontId="9" fillId="2" borderId="19" xfId="6" applyFont="1" applyFill="1" applyBorder="1" applyAlignment="1">
      <alignment horizontal="center" wrapText="1"/>
    </xf>
    <xf numFmtId="165" fontId="9" fillId="2" borderId="23" xfId="6" applyFont="1" applyFill="1" applyBorder="1" applyAlignment="1">
      <alignment horizontal="center" vertical="center" wrapText="1"/>
    </xf>
    <xf numFmtId="166" fontId="6" fillId="0" borderId="5" xfId="1" quotePrefix="1" applyNumberFormat="1" applyFont="1" applyBorder="1" applyAlignment="1">
      <alignment horizontal="right" vertical="center"/>
    </xf>
    <xf numFmtId="166" fontId="9" fillId="0" borderId="22" xfId="1" quotePrefix="1" applyNumberFormat="1" applyFont="1" applyBorder="1" applyAlignment="1">
      <alignment horizontal="right" vertical="center"/>
    </xf>
    <xf numFmtId="0" fontId="9" fillId="0" borderId="29" xfId="0" applyFont="1" applyBorder="1" applyAlignment="1">
      <alignment vertical="center"/>
    </xf>
    <xf numFmtId="0" fontId="9" fillId="0" borderId="21" xfId="0" applyFont="1" applyBorder="1" applyAlignment="1">
      <alignment vertical="center"/>
    </xf>
    <xf numFmtId="0" fontId="9" fillId="0" borderId="22" xfId="0" applyFont="1" applyBorder="1" applyAlignment="1">
      <alignment vertical="center"/>
    </xf>
    <xf numFmtId="0" fontId="9" fillId="0" borderId="23" xfId="0" applyFont="1" applyBorder="1" applyAlignment="1">
      <alignment vertical="center"/>
    </xf>
    <xf numFmtId="44" fontId="9" fillId="0" borderId="21" xfId="2" applyFont="1" applyFill="1" applyBorder="1" applyAlignment="1">
      <alignment vertical="center"/>
    </xf>
    <xf numFmtId="164" fontId="9" fillId="0" borderId="21" xfId="7" applyNumberFormat="1" applyFont="1" applyFill="1" applyBorder="1" applyAlignment="1">
      <alignment horizontal="center" vertical="center" wrapText="1"/>
    </xf>
    <xf numFmtId="44" fontId="6" fillId="0" borderId="45" xfId="2" applyFont="1" applyFill="1" applyBorder="1" applyAlignment="1">
      <alignment horizontal="center" vertical="center" wrapText="1"/>
    </xf>
    <xf numFmtId="44" fontId="6" fillId="0" borderId="7" xfId="2" applyFont="1" applyFill="1" applyBorder="1" applyAlignment="1">
      <alignment horizontal="center" vertical="center" wrapText="1"/>
    </xf>
    <xf numFmtId="44" fontId="6" fillId="0" borderId="8" xfId="2" applyFont="1" applyFill="1" applyBorder="1" applyAlignment="1">
      <alignment horizontal="center" vertical="center" wrapText="1"/>
    </xf>
    <xf numFmtId="44" fontId="6" fillId="0" borderId="46" xfId="2" applyFont="1" applyFill="1" applyBorder="1" applyAlignment="1">
      <alignment horizontal="center" vertical="center" wrapText="1"/>
    </xf>
    <xf numFmtId="44" fontId="6" fillId="4" borderId="8" xfId="2" applyFont="1" applyFill="1" applyBorder="1" applyAlignment="1">
      <alignment horizontal="center" vertical="center" wrapText="1"/>
    </xf>
    <xf numFmtId="44" fontId="6" fillId="5" borderId="5" xfId="2" applyFont="1" applyFill="1" applyBorder="1" applyAlignment="1">
      <alignment horizontal="center" vertical="center" wrapText="1"/>
    </xf>
    <xf numFmtId="44" fontId="6" fillId="5" borderId="8" xfId="2" applyFont="1" applyFill="1" applyBorder="1" applyAlignment="1">
      <alignment horizontal="center" vertical="center" wrapText="1"/>
    </xf>
    <xf numFmtId="0" fontId="9" fillId="2" borderId="34" xfId="0" applyFont="1" applyFill="1" applyBorder="1" applyAlignment="1">
      <alignment vertical="center" wrapText="1"/>
    </xf>
    <xf numFmtId="0" fontId="9" fillId="2" borderId="35" xfId="0" quotePrefix="1" applyFont="1" applyFill="1" applyBorder="1" applyAlignment="1">
      <alignment horizontal="center" wrapText="1"/>
    </xf>
    <xf numFmtId="0" fontId="9" fillId="2" borderId="35" xfId="0" applyFont="1" applyFill="1" applyBorder="1" applyAlignment="1">
      <alignment horizontal="center" wrapText="1"/>
    </xf>
    <xf numFmtId="0" fontId="9" fillId="2" borderId="36" xfId="0" quotePrefix="1" applyFont="1" applyFill="1" applyBorder="1" applyAlignment="1">
      <alignment horizontal="center" vertical="center" wrapText="1"/>
    </xf>
    <xf numFmtId="44" fontId="9" fillId="5" borderId="47" xfId="2" applyFont="1" applyFill="1" applyBorder="1" applyAlignment="1">
      <alignment horizontal="center" vertical="center" wrapText="1"/>
    </xf>
    <xf numFmtId="44" fontId="9" fillId="5" borderId="48" xfId="2" applyFont="1" applyFill="1" applyBorder="1" applyAlignment="1">
      <alignment horizontal="center" vertical="center" wrapText="1"/>
    </xf>
    <xf numFmtId="44" fontId="9" fillId="5" borderId="36" xfId="2" applyFont="1" applyFill="1" applyBorder="1" applyAlignment="1">
      <alignment horizontal="center" vertical="center" wrapText="1"/>
    </xf>
    <xf numFmtId="44" fontId="9" fillId="5" borderId="49" xfId="2" applyFont="1" applyFill="1" applyBorder="1" applyAlignment="1">
      <alignment horizontal="center" vertical="center" wrapText="1"/>
    </xf>
    <xf numFmtId="44" fontId="6" fillId="0" borderId="40" xfId="2" applyFont="1" applyBorder="1" applyAlignment="1">
      <alignment horizontal="center" vertical="center" wrapText="1"/>
    </xf>
    <xf numFmtId="0" fontId="6" fillId="0" borderId="19" xfId="4" applyFont="1" applyBorder="1" applyAlignment="1">
      <alignment vertical="center"/>
    </xf>
    <xf numFmtId="0" fontId="6" fillId="0" borderId="20" xfId="4" applyFont="1" applyBorder="1" applyAlignment="1">
      <alignment vertical="center"/>
    </xf>
    <xf numFmtId="44" fontId="9" fillId="0" borderId="21" xfId="2" applyFont="1" applyFill="1" applyBorder="1" applyAlignment="1">
      <alignment horizontal="center" vertical="center" wrapText="1"/>
    </xf>
    <xf numFmtId="44" fontId="9" fillId="4" borderId="22" xfId="2" applyFont="1" applyFill="1" applyBorder="1" applyAlignment="1">
      <alignment horizontal="center" vertical="center" wrapText="1"/>
    </xf>
    <xf numFmtId="44" fontId="9" fillId="5" borderId="22" xfId="2" applyFont="1" applyFill="1" applyBorder="1" applyAlignment="1">
      <alignment horizontal="center" vertical="center" wrapText="1"/>
    </xf>
    <xf numFmtId="0" fontId="9" fillId="0" borderId="43" xfId="4" applyFont="1" applyBorder="1" applyAlignment="1">
      <alignment vertical="center"/>
    </xf>
    <xf numFmtId="44" fontId="9" fillId="4" borderId="43" xfId="2" applyFont="1" applyFill="1" applyBorder="1" applyAlignment="1">
      <alignment horizontal="center" vertical="center" wrapText="1"/>
    </xf>
    <xf numFmtId="44" fontId="9" fillId="5" borderId="43" xfId="2" applyFont="1" applyFill="1" applyBorder="1" applyAlignment="1">
      <alignment horizontal="center" vertical="center" wrapText="1"/>
    </xf>
    <xf numFmtId="165" fontId="9" fillId="3" borderId="38" xfId="6" applyFont="1" applyFill="1" applyBorder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44" fontId="9" fillId="0" borderId="14" xfId="2" applyFont="1" applyBorder="1" applyAlignment="1">
      <alignment vertical="center" wrapText="1"/>
    </xf>
    <xf numFmtId="44" fontId="9" fillId="0" borderId="14" xfId="2" applyFont="1" applyBorder="1" applyAlignment="1">
      <alignment horizontal="center" vertical="center" wrapText="1"/>
    </xf>
    <xf numFmtId="44" fontId="6" fillId="0" borderId="0" xfId="0" applyNumberFormat="1" applyFont="1"/>
    <xf numFmtId="0" fontId="9" fillId="0" borderId="50" xfId="0" applyFont="1" applyBorder="1"/>
    <xf numFmtId="0" fontId="9" fillId="0" borderId="51" xfId="0" applyFont="1" applyBorder="1"/>
    <xf numFmtId="166" fontId="6" fillId="0" borderId="23" xfId="1" applyNumberFormat="1" applyFont="1" applyBorder="1" applyAlignment="1">
      <alignment vertical="center" wrapText="1"/>
    </xf>
    <xf numFmtId="44" fontId="6" fillId="0" borderId="22" xfId="2" applyFont="1" applyBorder="1" applyAlignment="1">
      <alignment horizontal="center" vertical="center" wrapText="1"/>
    </xf>
    <xf numFmtId="166" fontId="6" fillId="0" borderId="19" xfId="1" applyNumberFormat="1" applyFont="1" applyBorder="1" applyAlignment="1">
      <alignment vertical="center" wrapText="1"/>
    </xf>
    <xf numFmtId="44" fontId="6" fillId="0" borderId="20" xfId="2" applyFont="1" applyBorder="1" applyAlignment="1">
      <alignment horizontal="center" vertical="center" wrapText="1"/>
    </xf>
    <xf numFmtId="44" fontId="6" fillId="0" borderId="40" xfId="2" applyFont="1" applyBorder="1" applyAlignment="1">
      <alignment vertical="center" wrapText="1"/>
    </xf>
    <xf numFmtId="44" fontId="6" fillId="0" borderId="18" xfId="2" applyFont="1" applyBorder="1" applyAlignment="1">
      <alignment vertical="center" wrapText="1"/>
    </xf>
    <xf numFmtId="0" fontId="9" fillId="0" borderId="9" xfId="0" applyFont="1" applyBorder="1"/>
    <xf numFmtId="165" fontId="9" fillId="3" borderId="28" xfId="6" applyFont="1" applyFill="1" applyBorder="1" applyAlignment="1">
      <alignment horizontal="center" vertical="center"/>
    </xf>
    <xf numFmtId="165" fontId="9" fillId="3" borderId="20" xfId="6" quotePrefix="1" applyFont="1" applyFill="1" applyBorder="1" applyAlignment="1">
      <alignment horizontal="center" vertical="center" wrapText="1"/>
    </xf>
    <xf numFmtId="165" fontId="9" fillId="3" borderId="20" xfId="6" applyFont="1" applyFill="1" applyBorder="1" applyAlignment="1">
      <alignment horizontal="center" vertical="center" wrapText="1"/>
    </xf>
    <xf numFmtId="165" fontId="9" fillId="3" borderId="22" xfId="6" quotePrefix="1" applyFont="1" applyFill="1" applyBorder="1" applyAlignment="1">
      <alignment horizontal="center" vertical="center" wrapText="1"/>
    </xf>
    <xf numFmtId="166" fontId="6" fillId="0" borderId="5" xfId="1" applyNumberFormat="1" applyFont="1" applyBorder="1" applyAlignment="1">
      <alignment vertical="center"/>
    </xf>
    <xf numFmtId="166" fontId="6" fillId="0" borderId="6" xfId="1" applyNumberFormat="1" applyFont="1" applyBorder="1" applyAlignment="1">
      <alignment vertical="center"/>
    </xf>
    <xf numFmtId="166" fontId="9" fillId="0" borderId="51" xfId="1" applyNumberFormat="1" applyFont="1" applyBorder="1" applyAlignment="1">
      <alignment vertical="center"/>
    </xf>
    <xf numFmtId="166" fontId="9" fillId="0" borderId="52" xfId="1" applyNumberFormat="1" applyFont="1" applyBorder="1" applyAlignment="1">
      <alignment vertical="center"/>
    </xf>
    <xf numFmtId="0" fontId="7" fillId="0" borderId="0" xfId="0" applyFont="1" applyAlignment="1">
      <alignment horizontal="centerContinuous" vertical="center"/>
    </xf>
    <xf numFmtId="44" fontId="6" fillId="0" borderId="24" xfId="2" applyFont="1" applyBorder="1" applyAlignment="1">
      <alignment vertical="center" wrapText="1"/>
    </xf>
    <xf numFmtId="44" fontId="6" fillId="0" borderId="37" xfId="2" applyFont="1" applyBorder="1" applyAlignment="1">
      <alignment vertical="center" wrapText="1"/>
    </xf>
    <xf numFmtId="166" fontId="6" fillId="0" borderId="8" xfId="1" applyNumberFormat="1" applyFont="1" applyBorder="1" applyAlignment="1">
      <alignment vertical="center"/>
    </xf>
    <xf numFmtId="44" fontId="6" fillId="0" borderId="4" xfId="2" applyFont="1" applyBorder="1" applyAlignment="1">
      <alignment horizontal="center" vertical="center" wrapText="1"/>
    </xf>
    <xf numFmtId="44" fontId="6" fillId="0" borderId="53" xfId="2" applyFont="1" applyBorder="1" applyAlignment="1">
      <alignment horizontal="center" vertical="center" wrapText="1"/>
    </xf>
    <xf numFmtId="0" fontId="9" fillId="0" borderId="34" xfId="4" applyFont="1" applyBorder="1" applyAlignment="1">
      <alignment horizontal="center" vertical="center" wrapText="1"/>
    </xf>
    <xf numFmtId="0" fontId="9" fillId="0" borderId="35" xfId="0" applyFont="1" applyBorder="1" applyAlignment="1">
      <alignment horizontal="center" vertical="center"/>
    </xf>
    <xf numFmtId="164" fontId="6" fillId="0" borderId="0" xfId="7" applyNumberFormat="1" applyFont="1" applyAlignment="1">
      <alignment vertical="center"/>
    </xf>
    <xf numFmtId="164" fontId="9" fillId="0" borderId="34" xfId="4" applyNumberFormat="1" applyFont="1" applyBorder="1" applyAlignment="1">
      <alignment horizontal="center" vertical="center" wrapText="1"/>
    </xf>
    <xf numFmtId="164" fontId="9" fillId="0" borderId="35" xfId="0" applyNumberFormat="1" applyFont="1" applyBorder="1" applyAlignment="1">
      <alignment horizontal="center" vertical="center"/>
    </xf>
    <xf numFmtId="164" fontId="9" fillId="0" borderId="35" xfId="4" quotePrefix="1" applyNumberFormat="1" applyFont="1" applyBorder="1" applyAlignment="1">
      <alignment horizontal="center" vertical="center" wrapText="1"/>
    </xf>
    <xf numFmtId="164" fontId="9" fillId="0" borderId="36" xfId="4" applyNumberFormat="1" applyFont="1" applyBorder="1" applyAlignment="1">
      <alignment horizontal="center" vertical="center" wrapText="1"/>
    </xf>
    <xf numFmtId="164" fontId="9" fillId="0" borderId="34" xfId="0" applyNumberFormat="1" applyFont="1" applyBorder="1" applyAlignment="1">
      <alignment horizontal="centerContinuous" vertical="center"/>
    </xf>
    <xf numFmtId="164" fontId="9" fillId="0" borderId="35" xfId="4" applyNumberFormat="1" applyFont="1" applyBorder="1" applyAlignment="1">
      <alignment horizontal="center" vertical="center" wrapText="1"/>
    </xf>
    <xf numFmtId="166" fontId="8" fillId="0" borderId="0" xfId="1" applyNumberFormat="1" applyFont="1" applyAlignment="1">
      <alignment vertical="center"/>
    </xf>
    <xf numFmtId="10" fontId="8" fillId="0" borderId="0" xfId="7" applyNumberFormat="1" applyFont="1" applyAlignment="1">
      <alignment vertical="center"/>
    </xf>
    <xf numFmtId="169" fontId="8" fillId="0" borderId="0" xfId="7" applyNumberFormat="1" applyFont="1" applyAlignment="1">
      <alignment vertical="center"/>
    </xf>
    <xf numFmtId="44" fontId="6" fillId="0" borderId="0" xfId="0" applyNumberFormat="1" applyFont="1" applyAlignment="1">
      <alignment vertical="center"/>
    </xf>
    <xf numFmtId="170" fontId="6" fillId="0" borderId="0" xfId="1" applyNumberFormat="1" applyFont="1" applyAlignment="1">
      <alignment vertical="center"/>
    </xf>
    <xf numFmtId="10" fontId="8" fillId="0" borderId="0" xfId="7" applyNumberFormat="1" applyFont="1" applyAlignment="1">
      <alignment horizontal="left" vertical="center"/>
    </xf>
    <xf numFmtId="0" fontId="6" fillId="0" borderId="0" xfId="4" applyFont="1" applyAlignment="1">
      <alignment horizontal="left" vertical="center"/>
    </xf>
    <xf numFmtId="0" fontId="9" fillId="2" borderId="19" xfId="4" applyFont="1" applyFill="1" applyBorder="1" applyAlignment="1">
      <alignment horizontal="center"/>
    </xf>
    <xf numFmtId="0" fontId="9" fillId="2" borderId="54" xfId="4" applyFont="1" applyFill="1" applyBorder="1" applyAlignment="1">
      <alignment horizontal="center" wrapText="1"/>
    </xf>
    <xf numFmtId="0" fontId="9" fillId="2" borderId="21" xfId="4" applyFont="1" applyFill="1" applyBorder="1" applyAlignment="1">
      <alignment horizontal="center" wrapText="1"/>
    </xf>
    <xf numFmtId="0" fontId="9" fillId="2" borderId="22" xfId="4" applyFont="1" applyFill="1" applyBorder="1" applyAlignment="1">
      <alignment horizontal="center" wrapText="1"/>
    </xf>
    <xf numFmtId="0" fontId="9" fillId="2" borderId="23" xfId="4" applyFont="1" applyFill="1" applyBorder="1" applyAlignment="1">
      <alignment horizontal="center" wrapText="1"/>
    </xf>
    <xf numFmtId="0" fontId="9" fillId="2" borderId="17" xfId="4" applyFont="1" applyFill="1" applyBorder="1" applyAlignment="1">
      <alignment horizontal="centerContinuous" vertical="center"/>
    </xf>
    <xf numFmtId="0" fontId="6" fillId="2" borderId="15" xfId="4" applyFont="1" applyFill="1" applyBorder="1" applyAlignment="1">
      <alignment horizontal="centerContinuous" vertical="center"/>
    </xf>
    <xf numFmtId="0" fontId="9" fillId="0" borderId="42" xfId="4" applyFont="1" applyBorder="1" applyAlignment="1">
      <alignment vertical="center"/>
    </xf>
    <xf numFmtId="165" fontId="9" fillId="2" borderId="25" xfId="6" applyFont="1" applyFill="1" applyBorder="1" applyAlignment="1">
      <alignment horizontal="centerContinuous" vertical="center"/>
    </xf>
    <xf numFmtId="0" fontId="6" fillId="2" borderId="28" xfId="4" applyFont="1" applyFill="1" applyBorder="1" applyAlignment="1">
      <alignment horizontal="centerContinuous" vertical="center"/>
    </xf>
    <xf numFmtId="0" fontId="9" fillId="2" borderId="17" xfId="4" applyFont="1" applyFill="1" applyBorder="1" applyAlignment="1">
      <alignment horizontal="centerContinuous" vertical="center" wrapText="1"/>
    </xf>
    <xf numFmtId="0" fontId="9" fillId="2" borderId="15" xfId="4" applyFont="1" applyFill="1" applyBorder="1" applyAlignment="1">
      <alignment horizontal="centerContinuous" vertical="center" wrapText="1"/>
    </xf>
    <xf numFmtId="0" fontId="6" fillId="2" borderId="16" xfId="4" applyFont="1" applyFill="1" applyBorder="1" applyAlignment="1">
      <alignment horizontal="centerContinuous" vertical="center"/>
    </xf>
    <xf numFmtId="165" fontId="9" fillId="2" borderId="23" xfId="6" applyFont="1" applyFill="1" applyBorder="1" applyAlignment="1">
      <alignment horizontal="center" wrapText="1"/>
    </xf>
    <xf numFmtId="166" fontId="6" fillId="0" borderId="14" xfId="4" applyNumberFormat="1" applyFont="1" applyBorder="1" applyAlignment="1">
      <alignment vertical="center"/>
    </xf>
    <xf numFmtId="0" fontId="9" fillId="2" borderId="1" xfId="0" applyFont="1" applyFill="1" applyBorder="1" applyAlignment="1">
      <alignment horizontal="center"/>
    </xf>
    <xf numFmtId="0" fontId="9" fillId="2" borderId="55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Continuous"/>
    </xf>
    <xf numFmtId="0" fontId="9" fillId="2" borderId="2" xfId="0" applyFont="1" applyFill="1" applyBorder="1" applyAlignment="1">
      <alignment horizontal="center"/>
    </xf>
    <xf numFmtId="0" fontId="9" fillId="2" borderId="2" xfId="0" quotePrefix="1" applyFont="1" applyFill="1" applyBorder="1" applyAlignment="1">
      <alignment horizontal="center"/>
    </xf>
    <xf numFmtId="0" fontId="9" fillId="2" borderId="13" xfId="0" applyFont="1" applyFill="1" applyBorder="1" applyAlignment="1">
      <alignment horizontal="center"/>
    </xf>
    <xf numFmtId="0" fontId="9" fillId="2" borderId="13" xfId="0" quotePrefix="1" applyFont="1" applyFill="1" applyBorder="1" applyAlignment="1">
      <alignment horizontal="center"/>
    </xf>
    <xf numFmtId="0" fontId="9" fillId="2" borderId="21" xfId="0" applyFont="1" applyFill="1" applyBorder="1" applyAlignment="1">
      <alignment horizontal="center"/>
    </xf>
    <xf numFmtId="165" fontId="9" fillId="2" borderId="2" xfId="6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2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9" fillId="0" borderId="56" xfId="4" applyFont="1" applyBorder="1" applyAlignment="1">
      <alignment vertical="center"/>
    </xf>
    <xf numFmtId="0" fontId="9" fillId="3" borderId="37" xfId="4" applyFont="1" applyFill="1" applyBorder="1" applyAlignment="1">
      <alignment horizontal="center" vertical="center" wrapText="1"/>
    </xf>
    <xf numFmtId="0" fontId="9" fillId="3" borderId="53" xfId="4" applyFont="1" applyFill="1" applyBorder="1" applyAlignment="1">
      <alignment horizontal="center" vertical="center" wrapText="1"/>
    </xf>
    <xf numFmtId="0" fontId="9" fillId="3" borderId="38" xfId="4" applyFont="1" applyFill="1" applyBorder="1" applyAlignment="1">
      <alignment horizontal="center" vertical="center" wrapText="1"/>
    </xf>
    <xf numFmtId="0" fontId="9" fillId="3" borderId="57" xfId="4" applyFont="1" applyFill="1" applyBorder="1" applyAlignment="1">
      <alignment horizontal="center" vertical="center" wrapText="1"/>
    </xf>
    <xf numFmtId="0" fontId="9" fillId="3" borderId="29" xfId="4" applyFont="1" applyFill="1" applyBorder="1" applyAlignment="1">
      <alignment horizontal="center" vertical="center" wrapText="1"/>
    </xf>
    <xf numFmtId="0" fontId="9" fillId="3" borderId="58" xfId="4" applyFont="1" applyFill="1" applyBorder="1" applyAlignment="1">
      <alignment horizontal="center" vertical="center" wrapText="1"/>
    </xf>
    <xf numFmtId="0" fontId="9" fillId="0" borderId="30" xfId="0" quotePrefix="1" applyFont="1" applyBorder="1" applyAlignment="1">
      <alignment vertical="center"/>
    </xf>
    <xf numFmtId="168" fontId="9" fillId="0" borderId="0" xfId="0" applyNumberFormat="1" applyFont="1" applyAlignment="1">
      <alignment vertical="center"/>
    </xf>
    <xf numFmtId="166" fontId="9" fillId="0" borderId="22" xfId="1" applyNumberFormat="1" applyFont="1" applyBorder="1" applyAlignment="1">
      <alignment vertical="center" wrapText="1"/>
    </xf>
    <xf numFmtId="166" fontId="6" fillId="0" borderId="0" xfId="1" applyNumberFormat="1" applyFont="1" applyFill="1" applyBorder="1" applyAlignment="1">
      <alignment vertical="center"/>
    </xf>
    <xf numFmtId="44" fontId="9" fillId="0" borderId="22" xfId="2" applyFont="1" applyBorder="1" applyAlignment="1">
      <alignment horizontal="center" vertical="center" wrapText="1"/>
    </xf>
    <xf numFmtId="44" fontId="6" fillId="0" borderId="24" xfId="2" applyFont="1" applyBorder="1" applyAlignment="1">
      <alignment horizontal="center" vertical="center" wrapText="1"/>
    </xf>
    <xf numFmtId="44" fontId="6" fillId="0" borderId="37" xfId="2" applyFont="1" applyBorder="1" applyAlignment="1">
      <alignment horizontal="center" vertical="center" wrapText="1"/>
    </xf>
    <xf numFmtId="44" fontId="9" fillId="0" borderId="6" xfId="2" applyFont="1" applyBorder="1" applyAlignment="1">
      <alignment horizontal="center" vertical="center" wrapText="1"/>
    </xf>
    <xf numFmtId="165" fontId="9" fillId="2" borderId="20" xfId="6" applyFont="1" applyFill="1" applyBorder="1" applyAlignment="1">
      <alignment horizontal="center" vertical="center" wrapText="1"/>
    </xf>
    <xf numFmtId="0" fontId="9" fillId="0" borderId="53" xfId="0" applyFont="1" applyBorder="1" applyAlignment="1">
      <alignment horizontal="centerContinuous" vertical="center"/>
    </xf>
    <xf numFmtId="0" fontId="6" fillId="0" borderId="55" xfId="0" applyFont="1" applyBorder="1" applyAlignment="1">
      <alignment horizontal="centerContinuous" vertical="center"/>
    </xf>
    <xf numFmtId="0" fontId="6" fillId="0" borderId="37" xfId="0" applyFont="1" applyBorder="1" applyAlignment="1">
      <alignment horizontal="centerContinuous" vertical="center"/>
    </xf>
    <xf numFmtId="0" fontId="9" fillId="0" borderId="58" xfId="0" applyFont="1" applyBorder="1" applyAlignment="1">
      <alignment horizontal="centerContinuous" vertical="center"/>
    </xf>
    <xf numFmtId="0" fontId="6" fillId="0" borderId="59" xfId="0" applyFont="1" applyBorder="1" applyAlignment="1">
      <alignment horizontal="centerContinuous" vertical="center"/>
    </xf>
    <xf numFmtId="0" fontId="6" fillId="0" borderId="29" xfId="0" applyFont="1" applyBorder="1" applyAlignment="1">
      <alignment horizontal="centerContinuous" vertical="center"/>
    </xf>
    <xf numFmtId="0" fontId="6" fillId="3" borderId="16" xfId="0" applyFont="1" applyFill="1" applyBorder="1" applyAlignment="1">
      <alignment horizontal="centerContinuous"/>
    </xf>
    <xf numFmtId="44" fontId="6" fillId="4" borderId="21" xfId="2" applyFont="1" applyFill="1" applyBorder="1" applyAlignment="1">
      <alignment horizontal="center" vertical="center" wrapText="1"/>
    </xf>
    <xf numFmtId="44" fontId="6" fillId="4" borderId="13" xfId="2" applyFont="1" applyFill="1" applyBorder="1" applyAlignment="1">
      <alignment horizontal="center" vertical="center" wrapText="1"/>
    </xf>
    <xf numFmtId="164" fontId="6" fillId="0" borderId="0" xfId="7" applyNumberFormat="1" applyFont="1" applyFill="1" applyBorder="1" applyAlignment="1">
      <alignment vertical="center"/>
    </xf>
    <xf numFmtId="43" fontId="6" fillId="0" borderId="0" xfId="1" applyFont="1" applyFill="1" applyBorder="1" applyAlignment="1">
      <alignment vertical="center"/>
    </xf>
    <xf numFmtId="168" fontId="6" fillId="0" borderId="0" xfId="0" applyNumberFormat="1" applyFont="1" applyAlignment="1">
      <alignment vertical="center"/>
    </xf>
    <xf numFmtId="165" fontId="9" fillId="2" borderId="6" xfId="6" applyFont="1" applyFill="1" applyBorder="1" applyAlignment="1">
      <alignment horizontal="center" vertical="center" wrapText="1"/>
    </xf>
    <xf numFmtId="165" fontId="9" fillId="2" borderId="22" xfId="6" applyFont="1" applyFill="1" applyBorder="1" applyAlignment="1">
      <alignment horizontal="center" vertical="center" wrapText="1"/>
    </xf>
    <xf numFmtId="166" fontId="9" fillId="0" borderId="60" xfId="1" quotePrefix="1" applyNumberFormat="1" applyFont="1" applyBorder="1" applyAlignment="1">
      <alignment horizontal="right" vertical="center"/>
    </xf>
    <xf numFmtId="165" fontId="9" fillId="2" borderId="61" xfId="6" applyFont="1" applyFill="1" applyBorder="1" applyAlignment="1">
      <alignment horizontal="center" vertical="center" wrapText="1"/>
    </xf>
    <xf numFmtId="0" fontId="9" fillId="0" borderId="62" xfId="0" applyFont="1" applyBorder="1" applyAlignment="1">
      <alignment vertical="center"/>
    </xf>
    <xf numFmtId="165" fontId="9" fillId="2" borderId="18" xfId="6" applyFont="1" applyFill="1" applyBorder="1" applyAlignment="1">
      <alignment horizontal="center" vertical="center" wrapText="1"/>
    </xf>
    <xf numFmtId="166" fontId="9" fillId="0" borderId="63" xfId="1" quotePrefix="1" applyNumberFormat="1" applyFont="1" applyBorder="1" applyAlignment="1">
      <alignment horizontal="right" vertical="center"/>
    </xf>
    <xf numFmtId="0" fontId="9" fillId="2" borderId="6" xfId="0" applyFont="1" applyFill="1" applyBorder="1" applyAlignment="1">
      <alignment horizontal="center" vertical="center" wrapText="1"/>
    </xf>
    <xf numFmtId="0" fontId="9" fillId="2" borderId="22" xfId="0" applyFont="1" applyFill="1" applyBorder="1" applyAlignment="1">
      <alignment horizontal="center" vertical="center" wrapText="1"/>
    </xf>
    <xf numFmtId="3" fontId="6" fillId="0" borderId="5" xfId="0" applyNumberFormat="1" applyFont="1" applyBorder="1" applyAlignment="1">
      <alignment vertical="center"/>
    </xf>
    <xf numFmtId="166" fontId="6" fillId="0" borderId="8" xfId="1" applyNumberFormat="1" applyFont="1" applyBorder="1" applyAlignment="1">
      <alignment vertical="center" wrapText="1"/>
    </xf>
    <xf numFmtId="0" fontId="9" fillId="2" borderId="64" xfId="4" applyFont="1" applyFill="1" applyBorder="1" applyAlignment="1">
      <alignment horizontal="center" wrapText="1"/>
    </xf>
    <xf numFmtId="0" fontId="9" fillId="2" borderId="61" xfId="4" quotePrefix="1" applyFont="1" applyFill="1" applyBorder="1" applyAlignment="1">
      <alignment horizontal="center" vertical="center" wrapText="1"/>
    </xf>
    <xf numFmtId="166" fontId="9" fillId="0" borderId="10" xfId="1" applyNumberFormat="1" applyFont="1" applyBorder="1" applyAlignment="1">
      <alignment vertical="center" wrapText="1"/>
    </xf>
    <xf numFmtId="44" fontId="9" fillId="0" borderId="11" xfId="2" applyFont="1" applyBorder="1" applyAlignment="1">
      <alignment horizontal="center" vertical="center" wrapText="1"/>
    </xf>
    <xf numFmtId="44" fontId="9" fillId="4" borderId="12" xfId="2" applyFont="1" applyFill="1" applyBorder="1" applyAlignment="1">
      <alignment horizontal="center" vertical="center" wrapText="1"/>
    </xf>
    <xf numFmtId="49" fontId="9" fillId="3" borderId="20" xfId="4" applyNumberFormat="1" applyFont="1" applyFill="1" applyBorder="1" applyAlignment="1">
      <alignment horizontal="center" vertical="center" wrapText="1"/>
    </xf>
    <xf numFmtId="165" fontId="9" fillId="3" borderId="17" xfId="6" applyFont="1" applyFill="1" applyBorder="1" applyAlignment="1">
      <alignment horizontal="centerContinuous" vertical="center"/>
    </xf>
    <xf numFmtId="0" fontId="9" fillId="3" borderId="21" xfId="4" quotePrefix="1" applyFont="1" applyFill="1" applyBorder="1" applyAlignment="1">
      <alignment horizontal="center" vertical="center" wrapText="1"/>
    </xf>
    <xf numFmtId="44" fontId="6" fillId="0" borderId="65" xfId="2" applyFont="1" applyBorder="1" applyAlignment="1">
      <alignment horizontal="center" vertical="center" wrapText="1"/>
    </xf>
    <xf numFmtId="164" fontId="9" fillId="0" borderId="66" xfId="2" applyNumberFormat="1" applyFont="1" applyBorder="1" applyAlignment="1">
      <alignment horizontal="center" vertical="center" wrapText="1"/>
    </xf>
    <xf numFmtId="0" fontId="9" fillId="0" borderId="54" xfId="4" quotePrefix="1" applyFont="1" applyBorder="1" applyAlignment="1">
      <alignment horizontal="center" vertical="center" wrapText="1"/>
    </xf>
    <xf numFmtId="0" fontId="9" fillId="0" borderId="61" xfId="4" applyFont="1" applyBorder="1" applyAlignment="1">
      <alignment horizontal="center" vertical="center" wrapText="1"/>
    </xf>
    <xf numFmtId="165" fontId="9" fillId="3" borderId="67" xfId="6" applyFont="1" applyFill="1" applyBorder="1" applyAlignment="1">
      <alignment horizontal="center" vertical="center"/>
    </xf>
    <xf numFmtId="165" fontId="9" fillId="3" borderId="68" xfId="6" quotePrefix="1" applyFont="1" applyFill="1" applyBorder="1" applyAlignment="1">
      <alignment horizontal="center" vertical="center" wrapText="1"/>
    </xf>
    <xf numFmtId="165" fontId="9" fillId="3" borderId="68" xfId="6" applyFont="1" applyFill="1" applyBorder="1" applyAlignment="1">
      <alignment horizontal="center" vertical="center" wrapText="1"/>
    </xf>
    <xf numFmtId="165" fontId="9" fillId="3" borderId="69" xfId="6" quotePrefix="1" applyFont="1" applyFill="1" applyBorder="1" applyAlignment="1">
      <alignment horizontal="center" vertical="center" wrapText="1"/>
    </xf>
    <xf numFmtId="0" fontId="9" fillId="0" borderId="14" xfId="4" applyFont="1" applyBorder="1" applyAlignment="1">
      <alignment vertical="center"/>
    </xf>
    <xf numFmtId="165" fontId="7" fillId="0" borderId="0" xfId="6" quotePrefix="1" applyFont="1" applyAlignment="1">
      <alignment horizontal="centerContinuous"/>
    </xf>
    <xf numFmtId="165" fontId="7" fillId="0" borderId="0" xfId="6" applyFont="1" applyAlignment="1">
      <alignment horizontal="center"/>
    </xf>
    <xf numFmtId="0" fontId="7" fillId="0" borderId="0" xfId="0" applyFont="1" applyAlignment="1">
      <alignment horizontal="center"/>
    </xf>
    <xf numFmtId="167" fontId="0" fillId="0" borderId="0" xfId="0" applyNumberFormat="1"/>
    <xf numFmtId="0" fontId="0" fillId="0" borderId="0" xfId="0" applyAlignment="1">
      <alignment horizontal="centerContinuous"/>
    </xf>
    <xf numFmtId="49" fontId="9" fillId="3" borderId="14" xfId="4" applyNumberFormat="1" applyFont="1" applyFill="1" applyBorder="1" applyAlignment="1">
      <alignment horizontal="center" vertical="center" wrapText="1"/>
    </xf>
    <xf numFmtId="165" fontId="9" fillId="3" borderId="34" xfId="6" applyFont="1" applyFill="1" applyBorder="1" applyAlignment="1">
      <alignment horizontal="centerContinuous" vertical="center"/>
    </xf>
    <xf numFmtId="171" fontId="9" fillId="3" borderId="35" xfId="0" quotePrefix="1" applyNumberFormat="1" applyFont="1" applyFill="1" applyBorder="1" applyAlignment="1">
      <alignment horizontal="center" vertical="center"/>
    </xf>
    <xf numFmtId="171" fontId="9" fillId="3" borderId="35" xfId="0" applyNumberFormat="1" applyFont="1" applyFill="1" applyBorder="1" applyAlignment="1">
      <alignment horizontal="center" vertical="center"/>
    </xf>
    <xf numFmtId="0" fontId="9" fillId="3" borderId="35" xfId="0" applyFont="1" applyFill="1" applyBorder="1" applyAlignment="1">
      <alignment horizontal="center" vertical="center"/>
    </xf>
    <xf numFmtId="0" fontId="6" fillId="3" borderId="34" xfId="0" applyFont="1" applyFill="1" applyBorder="1"/>
    <xf numFmtId="0" fontId="6" fillId="3" borderId="35" xfId="0" applyFont="1" applyFill="1" applyBorder="1"/>
    <xf numFmtId="0" fontId="6" fillId="3" borderId="70" xfId="0" applyFont="1" applyFill="1" applyBorder="1"/>
    <xf numFmtId="0" fontId="9" fillId="3" borderId="35" xfId="0" applyFont="1" applyFill="1" applyBorder="1" applyAlignment="1">
      <alignment horizontal="center"/>
    </xf>
    <xf numFmtId="165" fontId="9" fillId="3" borderId="35" xfId="6" applyFont="1" applyFill="1" applyBorder="1" applyAlignment="1">
      <alignment horizontal="centerContinuous" vertical="center"/>
    </xf>
    <xf numFmtId="44" fontId="6" fillId="0" borderId="14" xfId="0" applyNumberFormat="1" applyFont="1" applyBorder="1" applyAlignment="1">
      <alignment vertical="center"/>
    </xf>
    <xf numFmtId="0" fontId="9" fillId="3" borderId="71" xfId="0" applyFont="1" applyFill="1" applyBorder="1" applyAlignment="1">
      <alignment horizontal="centerContinuous"/>
    </xf>
    <xf numFmtId="0" fontId="9" fillId="3" borderId="72" xfId="0" applyFont="1" applyFill="1" applyBorder="1" applyAlignment="1">
      <alignment horizontal="centerContinuous"/>
    </xf>
    <xf numFmtId="0" fontId="9" fillId="3" borderId="73" xfId="0" applyFont="1" applyFill="1" applyBorder="1" applyAlignment="1">
      <alignment horizontal="centerContinuous" vertical="center"/>
    </xf>
    <xf numFmtId="0" fontId="6" fillId="0" borderId="74" xfId="0" applyFont="1" applyBorder="1"/>
    <xf numFmtId="49" fontId="6" fillId="3" borderId="14" xfId="4" applyNumberFormat="1" applyFont="1" applyFill="1" applyBorder="1" applyAlignment="1">
      <alignment horizontal="center" vertical="center" wrapText="1"/>
    </xf>
    <xf numFmtId="49" fontId="9" fillId="3" borderId="35" xfId="4" applyNumberFormat="1" applyFont="1" applyFill="1" applyBorder="1" applyAlignment="1">
      <alignment horizontal="center" vertical="center" wrapText="1"/>
    </xf>
    <xf numFmtId="0" fontId="9" fillId="3" borderId="35" xfId="4" applyFont="1" applyFill="1" applyBorder="1" applyAlignment="1">
      <alignment horizontal="center" vertical="center" wrapText="1"/>
    </xf>
    <xf numFmtId="0" fontId="9" fillId="3" borderId="70" xfId="4" applyFont="1" applyFill="1" applyBorder="1" applyAlignment="1">
      <alignment horizontal="center" vertical="center" wrapText="1"/>
    </xf>
    <xf numFmtId="166" fontId="6" fillId="6" borderId="23" xfId="1" applyNumberFormat="1" applyFont="1" applyFill="1" applyBorder="1" applyAlignment="1">
      <alignment vertical="center" wrapText="1"/>
    </xf>
    <xf numFmtId="44" fontId="6" fillId="6" borderId="21" xfId="2" applyFont="1" applyFill="1" applyBorder="1" applyAlignment="1">
      <alignment horizontal="center" vertical="center" wrapText="1"/>
    </xf>
    <xf numFmtId="44" fontId="6" fillId="6" borderId="22" xfId="2" applyFont="1" applyFill="1" applyBorder="1" applyAlignment="1">
      <alignment horizontal="center" vertical="center" wrapText="1"/>
    </xf>
    <xf numFmtId="166" fontId="6" fillId="6" borderId="19" xfId="1" applyNumberFormat="1" applyFont="1" applyFill="1" applyBorder="1" applyAlignment="1">
      <alignment vertical="center" wrapText="1"/>
    </xf>
    <xf numFmtId="44" fontId="6" fillId="6" borderId="13" xfId="2" applyFont="1" applyFill="1" applyBorder="1" applyAlignment="1">
      <alignment horizontal="center" vertical="center" wrapText="1"/>
    </xf>
    <xf numFmtId="0" fontId="9" fillId="6" borderId="72" xfId="0" applyFont="1" applyFill="1" applyBorder="1" applyAlignment="1">
      <alignment horizontal="centerContinuous"/>
    </xf>
    <xf numFmtId="0" fontId="9" fillId="6" borderId="73" xfId="0" applyFont="1" applyFill="1" applyBorder="1" applyAlignment="1">
      <alignment horizontal="centerContinuous" vertical="center"/>
    </xf>
    <xf numFmtId="44" fontId="9" fillId="4" borderId="14" xfId="2" applyFont="1" applyFill="1" applyBorder="1" applyAlignment="1">
      <alignment horizontal="center" vertical="center" wrapText="1"/>
    </xf>
    <xf numFmtId="44" fontId="6" fillId="0" borderId="6" xfId="2" applyFont="1" applyFill="1" applyBorder="1" applyAlignment="1">
      <alignment horizontal="center" vertical="center" wrapText="1"/>
    </xf>
    <xf numFmtId="44" fontId="6" fillId="4" borderId="22" xfId="2" applyFont="1" applyFill="1" applyBorder="1" applyAlignment="1">
      <alignment horizontal="center" vertical="center" wrapText="1"/>
    </xf>
    <xf numFmtId="0" fontId="9" fillId="3" borderId="34" xfId="4" applyFont="1" applyFill="1" applyBorder="1" applyAlignment="1">
      <alignment horizontal="center" vertical="center" wrapText="1"/>
    </xf>
    <xf numFmtId="0" fontId="9" fillId="0" borderId="74" xfId="0" applyFont="1" applyBorder="1" applyAlignment="1">
      <alignment horizontal="centerContinuous" vertical="center"/>
    </xf>
    <xf numFmtId="0" fontId="9" fillId="0" borderId="0" xfId="4" quotePrefix="1" applyFont="1" applyAlignment="1">
      <alignment horizontal="center" vertical="center" wrapText="1"/>
    </xf>
    <xf numFmtId="0" fontId="9" fillId="6" borderId="71" xfId="0" applyFont="1" applyFill="1" applyBorder="1" applyAlignment="1">
      <alignment horizontal="centerContinuous"/>
    </xf>
    <xf numFmtId="44" fontId="6" fillId="6" borderId="20" xfId="2" applyFont="1" applyFill="1" applyBorder="1" applyAlignment="1">
      <alignment horizontal="center" vertical="center" wrapText="1"/>
    </xf>
    <xf numFmtId="166" fontId="9" fillId="6" borderId="75" xfId="1" applyNumberFormat="1" applyFont="1" applyFill="1" applyBorder="1" applyAlignment="1">
      <alignment vertical="center" wrapText="1"/>
    </xf>
    <xf numFmtId="44" fontId="9" fillId="6" borderId="41" xfId="2" applyFont="1" applyFill="1" applyBorder="1" applyAlignment="1">
      <alignment horizontal="center" vertical="center" wrapText="1"/>
    </xf>
    <xf numFmtId="44" fontId="6" fillId="6" borderId="43" xfId="2" applyFont="1" applyFill="1" applyBorder="1" applyAlignment="1">
      <alignment horizontal="center" vertical="center" wrapText="1"/>
    </xf>
    <xf numFmtId="0" fontId="9" fillId="3" borderId="34" xfId="0" applyFont="1" applyFill="1" applyBorder="1" applyAlignment="1">
      <alignment horizontal="left" vertical="center"/>
    </xf>
    <xf numFmtId="44" fontId="9" fillId="0" borderId="36" xfId="2" applyFont="1" applyBorder="1" applyAlignment="1">
      <alignment horizontal="center" vertical="center" wrapText="1"/>
    </xf>
    <xf numFmtId="44" fontId="9" fillId="0" borderId="35" xfId="2" applyFont="1" applyBorder="1" applyAlignment="1">
      <alignment horizontal="center" vertical="center" wrapText="1"/>
    </xf>
    <xf numFmtId="44" fontId="9" fillId="0" borderId="27" xfId="2" applyFont="1" applyBorder="1" applyAlignment="1">
      <alignment horizontal="center" vertical="center" wrapText="1"/>
    </xf>
    <xf numFmtId="0" fontId="6" fillId="0" borderId="76" xfId="0" applyFont="1" applyBorder="1" applyAlignment="1">
      <alignment vertical="center"/>
    </xf>
    <xf numFmtId="3" fontId="6" fillId="0" borderId="0" xfId="0" applyNumberFormat="1" applyFont="1"/>
    <xf numFmtId="167" fontId="6" fillId="0" borderId="57" xfId="3" applyNumberFormat="1" applyFont="1" applyBorder="1" applyAlignment="1">
      <alignment vertical="top"/>
    </xf>
    <xf numFmtId="167" fontId="6" fillId="0" borderId="0" xfId="3" applyNumberFormat="1" applyFont="1" applyAlignment="1">
      <alignment vertical="top"/>
    </xf>
    <xf numFmtId="43" fontId="6" fillId="0" borderId="0" xfId="3" applyNumberFormat="1" applyFont="1" applyAlignment="1">
      <alignment vertical="top"/>
    </xf>
    <xf numFmtId="0" fontId="0" fillId="0" borderId="57" xfId="0" applyBorder="1"/>
    <xf numFmtId="166" fontId="6" fillId="0" borderId="0" xfId="3" applyNumberFormat="1" applyFont="1" applyAlignment="1">
      <alignment vertical="top"/>
    </xf>
    <xf numFmtId="0" fontId="6" fillId="0" borderId="74" xfId="0" applyFont="1" applyBorder="1" applyAlignment="1">
      <alignment vertical="center"/>
    </xf>
    <xf numFmtId="44" fontId="9" fillId="0" borderId="39" xfId="4" applyNumberFormat="1" applyFont="1" applyBorder="1" applyAlignment="1">
      <alignment horizontal="center" vertical="center" wrapText="1"/>
    </xf>
    <xf numFmtId="44" fontId="9" fillId="0" borderId="49" xfId="2" applyFont="1" applyBorder="1" applyAlignment="1">
      <alignment horizontal="center" vertical="center" wrapText="1"/>
    </xf>
    <xf numFmtId="44" fontId="9" fillId="0" borderId="34" xfId="4" applyNumberFormat="1" applyFont="1" applyBorder="1" applyAlignment="1">
      <alignment horizontal="center" vertical="center" wrapText="1"/>
    </xf>
    <xf numFmtId="166" fontId="6" fillId="7" borderId="40" xfId="1" quotePrefix="1" applyNumberFormat="1" applyFont="1" applyFill="1" applyBorder="1" applyAlignment="1">
      <alignment horizontal="right" vertical="center"/>
    </xf>
    <xf numFmtId="166" fontId="6" fillId="7" borderId="5" xfId="1" quotePrefix="1" applyNumberFormat="1" applyFont="1" applyFill="1" applyBorder="1" applyAlignment="1">
      <alignment horizontal="right" vertical="center"/>
    </xf>
    <xf numFmtId="166" fontId="6" fillId="7" borderId="18" xfId="1" quotePrefix="1" applyNumberFormat="1" applyFont="1" applyFill="1" applyBorder="1" applyAlignment="1">
      <alignment horizontal="right" vertical="center"/>
    </xf>
    <xf numFmtId="166" fontId="6" fillId="7" borderId="6" xfId="1" quotePrefix="1" applyNumberFormat="1" applyFont="1" applyFill="1" applyBorder="1" applyAlignment="1">
      <alignment horizontal="right" vertical="center"/>
    </xf>
    <xf numFmtId="166" fontId="6" fillId="7" borderId="1" xfId="1" quotePrefix="1" applyNumberFormat="1" applyFont="1" applyFill="1" applyBorder="1" applyAlignment="1">
      <alignment horizontal="right" vertical="center"/>
    </xf>
    <xf numFmtId="166" fontId="6" fillId="7" borderId="2" xfId="1" quotePrefix="1" applyNumberFormat="1" applyFont="1" applyFill="1" applyBorder="1" applyAlignment="1">
      <alignment horizontal="right" vertical="center"/>
    </xf>
    <xf numFmtId="3" fontId="6" fillId="7" borderId="1" xfId="0" applyNumberFormat="1" applyFont="1" applyFill="1" applyBorder="1" applyAlignment="1">
      <alignment vertical="center"/>
    </xf>
    <xf numFmtId="3" fontId="6" fillId="7" borderId="2" xfId="0" applyNumberFormat="1" applyFont="1" applyFill="1" applyBorder="1" applyAlignment="1">
      <alignment vertical="center"/>
    </xf>
    <xf numFmtId="0" fontId="6" fillId="7" borderId="77" xfId="0" applyFont="1" applyFill="1" applyBorder="1" applyAlignment="1">
      <alignment horizontal="center"/>
    </xf>
    <xf numFmtId="0" fontId="6" fillId="7" borderId="78" xfId="0" applyFont="1" applyFill="1" applyBorder="1" applyAlignment="1">
      <alignment horizontal="center"/>
    </xf>
    <xf numFmtId="0" fontId="6" fillId="7" borderId="79" xfId="0" applyFont="1" applyFill="1" applyBorder="1" applyAlignment="1">
      <alignment horizontal="center"/>
    </xf>
    <xf numFmtId="0" fontId="6" fillId="7" borderId="80" xfId="0" applyFont="1" applyFill="1" applyBorder="1" applyAlignment="1">
      <alignment horizontal="center"/>
    </xf>
    <xf numFmtId="0" fontId="6" fillId="7" borderId="81" xfId="0" applyFont="1" applyFill="1" applyBorder="1" applyAlignment="1">
      <alignment horizontal="center"/>
    </xf>
    <xf numFmtId="0" fontId="6" fillId="7" borderId="82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Continuous"/>
    </xf>
    <xf numFmtId="0" fontId="6" fillId="8" borderId="0" xfId="3" applyFont="1" applyFill="1" applyAlignment="1">
      <alignment horizontal="left" vertical="top"/>
    </xf>
    <xf numFmtId="0" fontId="6" fillId="8" borderId="0" xfId="3" applyFont="1" applyFill="1" applyAlignment="1">
      <alignment wrapText="1"/>
    </xf>
    <xf numFmtId="165" fontId="6" fillId="8" borderId="83" xfId="6" applyFont="1" applyFill="1" applyBorder="1" applyAlignment="1">
      <alignment horizontal="left" vertical="center"/>
    </xf>
    <xf numFmtId="165" fontId="6" fillId="8" borderId="64" xfId="6" applyFont="1" applyFill="1" applyBorder="1" applyAlignment="1">
      <alignment horizontal="left" vertical="center"/>
    </xf>
    <xf numFmtId="0" fontId="6" fillId="8" borderId="84" xfId="0" applyFont="1" applyFill="1" applyBorder="1"/>
    <xf numFmtId="0" fontId="6" fillId="8" borderId="85" xfId="0" applyFont="1" applyFill="1" applyBorder="1"/>
    <xf numFmtId="167" fontId="6" fillId="7" borderId="40" xfId="2" applyNumberFormat="1" applyFont="1" applyFill="1" applyBorder="1" applyAlignment="1">
      <alignment horizontal="center" vertical="center" wrapText="1"/>
    </xf>
    <xf numFmtId="167" fontId="6" fillId="7" borderId="1" xfId="2" applyNumberFormat="1" applyFont="1" applyFill="1" applyBorder="1" applyAlignment="1">
      <alignment horizontal="center" vertical="center" wrapText="1"/>
    </xf>
    <xf numFmtId="167" fontId="6" fillId="7" borderId="18" xfId="2" applyNumberFormat="1" applyFont="1" applyFill="1" applyBorder="1" applyAlignment="1">
      <alignment horizontal="center" vertical="center" wrapText="1"/>
    </xf>
    <xf numFmtId="167" fontId="6" fillId="7" borderId="2" xfId="2" applyNumberFormat="1" applyFont="1" applyFill="1" applyBorder="1" applyAlignment="1">
      <alignment horizontal="center" vertical="center" wrapText="1"/>
    </xf>
    <xf numFmtId="0" fontId="6" fillId="7" borderId="0" xfId="4" applyFont="1" applyFill="1" applyAlignment="1">
      <alignment horizontal="left" vertical="center"/>
    </xf>
    <xf numFmtId="0" fontId="8" fillId="7" borderId="1" xfId="0" applyFont="1" applyFill="1" applyBorder="1" applyAlignment="1">
      <alignment horizontal="center" vertical="center"/>
    </xf>
    <xf numFmtId="164" fontId="6" fillId="7" borderId="1" xfId="7" applyNumberFormat="1" applyFont="1" applyFill="1" applyBorder="1" applyAlignment="1">
      <alignment horizontal="center" vertical="center" wrapText="1"/>
    </xf>
    <xf numFmtId="164" fontId="6" fillId="7" borderId="1" xfId="7" applyNumberFormat="1" applyFont="1" applyFill="1" applyBorder="1" applyAlignment="1">
      <alignment horizontal="center" vertical="center"/>
    </xf>
    <xf numFmtId="164" fontId="6" fillId="7" borderId="7" xfId="7" applyNumberFormat="1" applyFont="1" applyFill="1" applyBorder="1" applyAlignment="1">
      <alignment horizontal="center" vertical="center"/>
    </xf>
    <xf numFmtId="164" fontId="6" fillId="7" borderId="7" xfId="7" applyNumberFormat="1" applyFont="1" applyFill="1" applyBorder="1" applyAlignment="1">
      <alignment horizontal="center" vertical="center" wrapText="1"/>
    </xf>
    <xf numFmtId="0" fontId="9" fillId="8" borderId="14" xfId="4" applyFont="1" applyFill="1" applyBorder="1" applyAlignment="1">
      <alignment horizontal="center" vertical="center" wrapText="1"/>
    </xf>
    <xf numFmtId="0" fontId="6" fillId="9" borderId="0" xfId="0" applyFont="1" applyFill="1" applyAlignment="1">
      <alignment vertical="center"/>
    </xf>
    <xf numFmtId="44" fontId="6" fillId="10" borderId="29" xfId="2" applyFont="1" applyFill="1" applyBorder="1" applyAlignment="1">
      <alignment horizontal="center" vertical="center" wrapText="1"/>
    </xf>
    <xf numFmtId="44" fontId="6" fillId="10" borderId="86" xfId="2" applyFont="1" applyFill="1" applyBorder="1" applyAlignment="1">
      <alignment horizontal="center" vertical="center" wrapText="1"/>
    </xf>
    <xf numFmtId="44" fontId="6" fillId="10" borderId="87" xfId="2" applyFont="1" applyFill="1" applyBorder="1" applyAlignment="1">
      <alignment horizontal="center" vertical="center" wrapText="1"/>
    </xf>
    <xf numFmtId="44" fontId="6" fillId="10" borderId="88" xfId="2" applyFont="1" applyFill="1" applyBorder="1" applyAlignment="1">
      <alignment horizontal="center" vertical="center" wrapText="1"/>
    </xf>
    <xf numFmtId="44" fontId="6" fillId="10" borderId="21" xfId="2" applyFont="1" applyFill="1" applyBorder="1" applyAlignment="1">
      <alignment horizontal="center" vertical="center" wrapText="1"/>
    </xf>
    <xf numFmtId="44" fontId="6" fillId="10" borderId="1" xfId="2" applyFont="1" applyFill="1" applyBorder="1" applyAlignment="1">
      <alignment horizontal="center" vertical="center" wrapText="1"/>
    </xf>
    <xf numFmtId="44" fontId="6" fillId="10" borderId="46" xfId="2" applyFont="1" applyFill="1" applyBorder="1" applyAlignment="1">
      <alignment horizontal="center" vertical="center" wrapText="1"/>
    </xf>
    <xf numFmtId="44" fontId="6" fillId="10" borderId="2" xfId="2" applyFont="1" applyFill="1" applyBorder="1" applyAlignment="1">
      <alignment horizontal="center" vertical="center" wrapText="1"/>
    </xf>
    <xf numFmtId="44" fontId="6" fillId="10" borderId="65" xfId="2" applyFont="1" applyFill="1" applyBorder="1" applyAlignment="1">
      <alignment horizontal="center" vertical="center" wrapText="1"/>
    </xf>
    <xf numFmtId="0" fontId="6" fillId="10" borderId="0" xfId="0" applyFont="1" applyFill="1" applyAlignment="1">
      <alignment vertical="center"/>
    </xf>
    <xf numFmtId="37" fontId="12" fillId="8" borderId="89" xfId="5" applyFont="1" applyFill="1" applyBorder="1" applyAlignment="1">
      <alignment horizontal="left"/>
    </xf>
    <xf numFmtId="37" fontId="12" fillId="8" borderId="90" xfId="5" applyFont="1" applyFill="1" applyBorder="1" applyAlignment="1">
      <alignment horizontal="left"/>
    </xf>
    <xf numFmtId="37" fontId="12" fillId="7" borderId="91" xfId="5" applyFont="1" applyFill="1" applyBorder="1" applyAlignment="1">
      <alignment horizontal="left"/>
    </xf>
    <xf numFmtId="37" fontId="12" fillId="0" borderId="92" xfId="5" applyFont="1" applyBorder="1" applyAlignment="1">
      <alignment horizontal="center"/>
    </xf>
    <xf numFmtId="0" fontId="0" fillId="7" borderId="2" xfId="0" applyFill="1" applyBorder="1"/>
    <xf numFmtId="37" fontId="12" fillId="8" borderId="57" xfId="5" applyFont="1" applyFill="1" applyBorder="1" applyAlignment="1">
      <alignment horizontal="left"/>
    </xf>
    <xf numFmtId="37" fontId="12" fillId="8" borderId="13" xfId="5" applyFont="1" applyFill="1" applyBorder="1" applyAlignment="1">
      <alignment horizontal="left"/>
    </xf>
    <xf numFmtId="37" fontId="12" fillId="7" borderId="0" xfId="5" applyFont="1" applyFill="1" applyAlignment="1">
      <alignment horizontal="left"/>
    </xf>
    <xf numFmtId="37" fontId="12" fillId="0" borderId="93" xfId="5" applyFont="1" applyBorder="1" applyAlignment="1">
      <alignment horizontal="center"/>
    </xf>
    <xf numFmtId="0" fontId="0" fillId="7" borderId="13" xfId="0" applyFill="1" applyBorder="1"/>
    <xf numFmtId="37" fontId="12" fillId="8" borderId="94" xfId="5" applyFont="1" applyFill="1" applyBorder="1" applyAlignment="1">
      <alignment horizontal="left"/>
    </xf>
    <xf numFmtId="37" fontId="12" fillId="8" borderId="95" xfId="5" applyFont="1" applyFill="1" applyBorder="1" applyAlignment="1">
      <alignment horizontal="left"/>
    </xf>
    <xf numFmtId="37" fontId="12" fillId="7" borderId="96" xfId="5" applyFont="1" applyFill="1" applyBorder="1" applyAlignment="1">
      <alignment horizontal="left"/>
    </xf>
    <xf numFmtId="37" fontId="12" fillId="7" borderId="97" xfId="5" applyFont="1" applyFill="1" applyBorder="1" applyAlignment="1">
      <alignment horizontal="left"/>
    </xf>
    <xf numFmtId="37" fontId="12" fillId="0" borderId="98" xfId="5" applyFont="1" applyBorder="1" applyAlignment="1">
      <alignment horizontal="center"/>
    </xf>
    <xf numFmtId="37" fontId="12" fillId="8" borderId="21" xfId="5" applyFont="1" applyFill="1" applyBorder="1" applyAlignment="1">
      <alignment horizontal="left"/>
    </xf>
    <xf numFmtId="37" fontId="12" fillId="7" borderId="21" xfId="5" applyFont="1" applyFill="1" applyBorder="1" applyAlignment="1">
      <alignment horizontal="left"/>
    </xf>
    <xf numFmtId="37" fontId="12" fillId="0" borderId="21" xfId="5" applyFont="1" applyBorder="1" applyAlignment="1">
      <alignment horizontal="center"/>
    </xf>
    <xf numFmtId="37" fontId="12" fillId="7" borderId="90" xfId="5" applyFont="1" applyFill="1" applyBorder="1" applyAlignment="1">
      <alignment horizontal="left"/>
    </xf>
    <xf numFmtId="37" fontId="12" fillId="0" borderId="90" xfId="5" applyFont="1" applyBorder="1" applyAlignment="1">
      <alignment horizontal="center"/>
    </xf>
    <xf numFmtId="37" fontId="12" fillId="8" borderId="94" xfId="5" quotePrefix="1" applyFont="1" applyFill="1" applyBorder="1" applyAlignment="1">
      <alignment horizontal="left"/>
    </xf>
    <xf numFmtId="37" fontId="12" fillId="7" borderId="97" xfId="5" quotePrefix="1" applyFont="1" applyFill="1" applyBorder="1" applyAlignment="1">
      <alignment horizontal="left"/>
    </xf>
    <xf numFmtId="37" fontId="12" fillId="8" borderId="95" xfId="5" quotePrefix="1" applyFont="1" applyFill="1" applyBorder="1" applyAlignment="1">
      <alignment horizontal="left"/>
    </xf>
    <xf numFmtId="0" fontId="6" fillId="8" borderId="99" xfId="3" applyFont="1" applyFill="1" applyBorder="1" applyAlignment="1">
      <alignment horizontal="left" vertical="top"/>
    </xf>
    <xf numFmtId="0" fontId="6" fillId="8" borderId="100" xfId="3" applyFont="1" applyFill="1" applyBorder="1" applyAlignment="1">
      <alignment vertical="top" wrapText="1"/>
    </xf>
    <xf numFmtId="0" fontId="6" fillId="7" borderId="101" xfId="0" applyFont="1" applyFill="1" applyBorder="1" applyAlignment="1">
      <alignment horizontal="left"/>
    </xf>
    <xf numFmtId="0" fontId="6" fillId="0" borderId="102" xfId="3" applyFont="1" applyBorder="1" applyAlignment="1">
      <alignment horizontal="center" vertical="top" wrapText="1"/>
    </xf>
    <xf numFmtId="167" fontId="9" fillId="7" borderId="100" xfId="3" applyNumberFormat="1" applyFont="1" applyFill="1" applyBorder="1"/>
    <xf numFmtId="37" fontId="12" fillId="0" borderId="0" xfId="5" applyFont="1" applyAlignment="1">
      <alignment horizontal="left"/>
    </xf>
    <xf numFmtId="0" fontId="0" fillId="8" borderId="0" xfId="0" applyFill="1"/>
    <xf numFmtId="0" fontId="6" fillId="0" borderId="1" xfId="0" applyFont="1" applyBorder="1" applyAlignment="1">
      <alignment vertical="center"/>
    </xf>
    <xf numFmtId="164" fontId="9" fillId="0" borderId="61" xfId="2" applyNumberFormat="1" applyFont="1" applyFill="1" applyBorder="1" applyAlignment="1">
      <alignment horizontal="center" vertical="center" wrapText="1"/>
    </xf>
    <xf numFmtId="164" fontId="9" fillId="0" borderId="71" xfId="2" applyNumberFormat="1" applyFont="1" applyFill="1" applyBorder="1" applyAlignment="1">
      <alignment horizontal="center" vertical="center" wrapText="1"/>
    </xf>
    <xf numFmtId="164" fontId="9" fillId="0" borderId="36" xfId="2" applyNumberFormat="1" applyFont="1" applyFill="1" applyBorder="1" applyAlignment="1">
      <alignment horizontal="center" vertical="center" wrapText="1"/>
    </xf>
    <xf numFmtId="164" fontId="9" fillId="0" borderId="49" xfId="2" applyNumberFormat="1" applyFont="1" applyFill="1" applyBorder="1" applyAlignment="1">
      <alignment horizontal="center" vertical="center" wrapText="1"/>
    </xf>
    <xf numFmtId="164" fontId="9" fillId="0" borderId="47" xfId="2" applyNumberFormat="1" applyFont="1" applyFill="1" applyBorder="1" applyAlignment="1">
      <alignment horizontal="center" vertical="center" wrapText="1"/>
    </xf>
    <xf numFmtId="164" fontId="9" fillId="0" borderId="103" xfId="2" applyNumberFormat="1" applyFont="1" applyFill="1" applyBorder="1" applyAlignment="1">
      <alignment horizontal="center" vertical="center" wrapText="1"/>
    </xf>
    <xf numFmtId="164" fontId="9" fillId="0" borderId="0" xfId="2" applyNumberFormat="1" applyFont="1" applyFill="1" applyBorder="1" applyAlignment="1">
      <alignment horizontal="center" vertical="center" wrapText="1"/>
    </xf>
    <xf numFmtId="164" fontId="9" fillId="0" borderId="39" xfId="2" applyNumberFormat="1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vertical="center"/>
    </xf>
    <xf numFmtId="0" fontId="6" fillId="3" borderId="24" xfId="0" applyFont="1" applyFill="1" applyBorder="1" applyAlignment="1">
      <alignment vertical="center"/>
    </xf>
    <xf numFmtId="0" fontId="6" fillId="0" borderId="38" xfId="0" applyFont="1" applyBorder="1" applyAlignment="1">
      <alignment vertical="center"/>
    </xf>
    <xf numFmtId="0" fontId="9" fillId="0" borderId="63" xfId="4" applyFont="1" applyBorder="1" applyAlignment="1">
      <alignment vertical="center" wrapText="1"/>
    </xf>
    <xf numFmtId="43" fontId="6" fillId="0" borderId="1" xfId="1" applyFont="1" applyBorder="1" applyAlignment="1">
      <alignment vertical="center"/>
    </xf>
    <xf numFmtId="172" fontId="8" fillId="7" borderId="0" xfId="0" applyNumberFormat="1" applyFont="1" applyFill="1" applyAlignment="1">
      <alignment vertical="center"/>
    </xf>
    <xf numFmtId="0" fontId="8" fillId="11" borderId="0" xfId="0" applyFont="1" applyFill="1" applyAlignment="1">
      <alignment vertical="center"/>
    </xf>
    <xf numFmtId="172" fontId="8" fillId="11" borderId="0" xfId="0" applyNumberFormat="1" applyFont="1" applyFill="1" applyAlignment="1">
      <alignment vertical="center"/>
    </xf>
    <xf numFmtId="0" fontId="14" fillId="7" borderId="0" xfId="0" applyFont="1" applyFill="1" applyAlignment="1">
      <alignment vertical="center"/>
    </xf>
    <xf numFmtId="2" fontId="6" fillId="11" borderId="1" xfId="0" applyNumberFormat="1" applyFont="1" applyFill="1" applyBorder="1" applyAlignment="1">
      <alignment vertical="center"/>
    </xf>
    <xf numFmtId="172" fontId="9" fillId="2" borderId="23" xfId="6" applyNumberFormat="1" applyFont="1" applyFill="1" applyBorder="1" applyAlignment="1">
      <alignment horizontal="center" vertical="center" wrapText="1"/>
    </xf>
    <xf numFmtId="172" fontId="9" fillId="2" borderId="22" xfId="6" applyNumberFormat="1" applyFont="1" applyFill="1" applyBorder="1" applyAlignment="1">
      <alignment horizontal="center" vertical="center" wrapText="1"/>
    </xf>
    <xf numFmtId="172" fontId="9" fillId="9" borderId="23" xfId="6" applyNumberFormat="1" applyFont="1" applyFill="1" applyBorder="1" applyAlignment="1">
      <alignment horizontal="center" vertical="center" wrapText="1"/>
    </xf>
    <xf numFmtId="172" fontId="9" fillId="9" borderId="21" xfId="6" applyNumberFormat="1" applyFont="1" applyFill="1" applyBorder="1" applyAlignment="1">
      <alignment horizontal="center" vertical="center" wrapText="1"/>
    </xf>
    <xf numFmtId="172" fontId="9" fillId="3" borderId="70" xfId="0" quotePrefix="1" applyNumberFormat="1" applyFont="1" applyFill="1" applyBorder="1" applyAlignment="1">
      <alignment horizontal="center" vertical="center"/>
    </xf>
    <xf numFmtId="172" fontId="9" fillId="3" borderId="70" xfId="0" applyNumberFormat="1" applyFont="1" applyFill="1" applyBorder="1" applyAlignment="1">
      <alignment horizontal="center" vertical="center"/>
    </xf>
    <xf numFmtId="172" fontId="0" fillId="0" borderId="0" xfId="0" applyNumberFormat="1"/>
    <xf numFmtId="172" fontId="6" fillId="0" borderId="0" xfId="0" applyNumberFormat="1" applyFont="1" applyAlignment="1">
      <alignment vertical="center"/>
    </xf>
    <xf numFmtId="0" fontId="6" fillId="9" borderId="0" xfId="0" applyFont="1" applyFill="1"/>
    <xf numFmtId="164" fontId="9" fillId="0" borderId="0" xfId="7" applyNumberFormat="1" applyFont="1" applyBorder="1" applyAlignment="1">
      <alignment vertical="center"/>
    </xf>
    <xf numFmtId="164" fontId="9" fillId="0" borderId="0" xfId="0" applyNumberFormat="1" applyFont="1" applyAlignment="1">
      <alignment vertical="center"/>
    </xf>
    <xf numFmtId="166" fontId="9" fillId="0" borderId="12" xfId="1" quotePrefix="1" applyNumberFormat="1" applyFont="1" applyBorder="1" applyAlignment="1">
      <alignment horizontal="right" vertical="center"/>
    </xf>
    <xf numFmtId="165" fontId="9" fillId="2" borderId="103" xfId="6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center"/>
    </xf>
    <xf numFmtId="164" fontId="9" fillId="0" borderId="64" xfId="7" applyNumberFormat="1" applyFont="1" applyBorder="1" applyAlignment="1">
      <alignment vertical="center"/>
    </xf>
    <xf numFmtId="164" fontId="9" fillId="0" borderId="18" xfId="7" applyNumberFormat="1" applyFont="1" applyBorder="1" applyAlignment="1">
      <alignment vertical="center"/>
    </xf>
    <xf numFmtId="164" fontId="9" fillId="0" borderId="2" xfId="7" applyNumberFormat="1" applyFont="1" applyBorder="1" applyAlignment="1">
      <alignment vertical="center"/>
    </xf>
    <xf numFmtId="0" fontId="9" fillId="0" borderId="55" xfId="0" applyFont="1" applyBorder="1" applyAlignment="1">
      <alignment vertical="center"/>
    </xf>
    <xf numFmtId="164" fontId="9" fillId="0" borderId="55" xfId="0" applyNumberFormat="1" applyFont="1" applyBorder="1" applyAlignment="1">
      <alignment vertical="center"/>
    </xf>
    <xf numFmtId="164" fontId="9" fillId="0" borderId="6" xfId="7" applyNumberFormat="1" applyFont="1" applyBorder="1" applyAlignment="1">
      <alignment vertical="center"/>
    </xf>
    <xf numFmtId="0" fontId="6" fillId="12" borderId="38" xfId="0" applyFont="1" applyFill="1" applyBorder="1" applyAlignment="1">
      <alignment vertical="center"/>
    </xf>
    <xf numFmtId="0" fontId="6" fillId="12" borderId="0" xfId="0" applyFont="1" applyFill="1" applyAlignment="1">
      <alignment vertical="center"/>
    </xf>
    <xf numFmtId="0" fontId="8" fillId="0" borderId="24" xfId="0" applyFont="1" applyBorder="1" applyAlignment="1">
      <alignment vertical="center"/>
    </xf>
    <xf numFmtId="165" fontId="9" fillId="2" borderId="1" xfId="6" applyFont="1" applyFill="1" applyBorder="1" applyAlignment="1">
      <alignment horizontal="center" vertical="center" wrapText="1"/>
    </xf>
    <xf numFmtId="0" fontId="6" fillId="0" borderId="2" xfId="0" applyFont="1" applyBorder="1" applyAlignment="1">
      <alignment vertical="center"/>
    </xf>
    <xf numFmtId="43" fontId="6" fillId="0" borderId="0" xfId="1" applyFont="1" applyBorder="1" applyAlignment="1">
      <alignment vertical="center"/>
    </xf>
    <xf numFmtId="0" fontId="9" fillId="12" borderId="0" xfId="0" applyFont="1" applyFill="1" applyAlignment="1">
      <alignment horizontal="centerContinuous" vertical="center"/>
    </xf>
    <xf numFmtId="0" fontId="6" fillId="12" borderId="0" xfId="0" applyFont="1" applyFill="1" applyAlignment="1">
      <alignment horizontal="centerContinuous"/>
    </xf>
    <xf numFmtId="0" fontId="9" fillId="12" borderId="0" xfId="4" applyFont="1" applyFill="1" applyAlignment="1">
      <alignment horizontal="center" vertical="center" wrapText="1"/>
    </xf>
    <xf numFmtId="44" fontId="6" fillId="12" borderId="0" xfId="2" applyFont="1" applyFill="1" applyBorder="1" applyAlignment="1">
      <alignment horizontal="center" vertical="center" wrapText="1"/>
    </xf>
    <xf numFmtId="44" fontId="9" fillId="12" borderId="0" xfId="2" applyFont="1" applyFill="1" applyBorder="1" applyAlignment="1">
      <alignment horizontal="center" vertical="center" wrapText="1"/>
    </xf>
    <xf numFmtId="0" fontId="9" fillId="12" borderId="0" xfId="0" applyFont="1" applyFill="1" applyAlignment="1">
      <alignment vertical="center"/>
    </xf>
    <xf numFmtId="168" fontId="9" fillId="12" borderId="0" xfId="0" applyNumberFormat="1" applyFont="1" applyFill="1" applyAlignment="1">
      <alignment vertical="center"/>
    </xf>
    <xf numFmtId="0" fontId="6" fillId="12" borderId="0" xfId="0" applyFont="1" applyFill="1"/>
    <xf numFmtId="0" fontId="9" fillId="0" borderId="25" xfId="4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/>
    </xf>
    <xf numFmtId="0" fontId="9" fillId="0" borderId="19" xfId="4" quotePrefix="1" applyFont="1" applyBorder="1" applyAlignment="1">
      <alignment horizontal="center" vertical="center" wrapText="1"/>
    </xf>
    <xf numFmtId="0" fontId="9" fillId="0" borderId="23" xfId="4" applyFont="1" applyBorder="1" applyAlignment="1">
      <alignment horizontal="center" vertical="center" wrapText="1"/>
    </xf>
    <xf numFmtId="164" fontId="9" fillId="0" borderId="23" xfId="2" applyNumberFormat="1" applyFont="1" applyFill="1" applyBorder="1" applyAlignment="1">
      <alignment horizontal="center" vertical="center" wrapText="1"/>
    </xf>
    <xf numFmtId="164" fontId="9" fillId="0" borderId="40" xfId="2" applyNumberFormat="1" applyFont="1" applyFill="1" applyBorder="1" applyAlignment="1">
      <alignment horizontal="center" vertical="center" wrapText="1"/>
    </xf>
    <xf numFmtId="164" fontId="9" fillId="0" borderId="18" xfId="2" applyNumberFormat="1" applyFont="1" applyFill="1" applyBorder="1" applyAlignment="1">
      <alignment horizontal="center" vertical="center" wrapText="1"/>
    </xf>
    <xf numFmtId="164" fontId="9" fillId="0" borderId="104" xfId="2" applyNumberFormat="1" applyFont="1" applyFill="1" applyBorder="1" applyAlignment="1">
      <alignment horizontal="center" vertical="center" wrapText="1"/>
    </xf>
    <xf numFmtId="164" fontId="9" fillId="0" borderId="42" xfId="2" applyNumberFormat="1" applyFont="1" applyFill="1" applyBorder="1" applyAlignment="1">
      <alignment horizontal="center" vertical="center" wrapText="1"/>
    </xf>
    <xf numFmtId="164" fontId="9" fillId="0" borderId="25" xfId="4" applyNumberFormat="1" applyFont="1" applyBorder="1" applyAlignment="1">
      <alignment horizontal="center" vertical="center" wrapText="1"/>
    </xf>
    <xf numFmtId="164" fontId="9" fillId="0" borderId="19" xfId="0" applyNumberFormat="1" applyFont="1" applyBorder="1" applyAlignment="1">
      <alignment horizontal="center" vertical="center"/>
    </xf>
    <xf numFmtId="164" fontId="9" fillId="0" borderId="19" xfId="4" quotePrefix="1" applyNumberFormat="1" applyFont="1" applyBorder="1" applyAlignment="1">
      <alignment horizontal="center" vertical="center" wrapText="1"/>
    </xf>
    <xf numFmtId="164" fontId="9" fillId="0" borderId="23" xfId="4" applyNumberFormat="1" applyFont="1" applyBorder="1" applyAlignment="1">
      <alignment horizontal="center" vertical="center" wrapText="1"/>
    </xf>
    <xf numFmtId="164" fontId="9" fillId="0" borderId="56" xfId="2" applyNumberFormat="1" applyFont="1" applyFill="1" applyBorder="1" applyAlignment="1">
      <alignment horizontal="center" vertical="center" wrapText="1"/>
    </xf>
    <xf numFmtId="164" fontId="6" fillId="0" borderId="38" xfId="0" applyNumberFormat="1" applyFont="1" applyBorder="1" applyAlignment="1">
      <alignment vertical="center"/>
    </xf>
    <xf numFmtId="3" fontId="6" fillId="12" borderId="0" xfId="0" applyNumberFormat="1" applyFont="1" applyFill="1" applyAlignment="1">
      <alignment vertical="center"/>
    </xf>
    <xf numFmtId="3" fontId="9" fillId="12" borderId="0" xfId="0" applyNumberFormat="1" applyFont="1" applyFill="1" applyAlignment="1">
      <alignment vertical="center"/>
    </xf>
    <xf numFmtId="164" fontId="6" fillId="12" borderId="0" xfId="7" applyNumberFormat="1" applyFont="1" applyFill="1" applyBorder="1" applyAlignment="1">
      <alignment vertical="center"/>
    </xf>
    <xf numFmtId="165" fontId="7" fillId="0" borderId="0" xfId="6" applyFont="1" applyAlignment="1">
      <alignment horizontal="left" vertical="center"/>
    </xf>
    <xf numFmtId="165" fontId="6" fillId="8" borderId="83" xfId="6" applyFont="1" applyFill="1" applyBorder="1" applyAlignment="1">
      <alignment horizontal="center" vertical="center"/>
    </xf>
    <xf numFmtId="44" fontId="8" fillId="0" borderId="0" xfId="0" applyNumberFormat="1" applyFont="1" applyAlignment="1">
      <alignment vertical="center"/>
    </xf>
    <xf numFmtId="44" fontId="8" fillId="0" borderId="0" xfId="7" applyNumberFormat="1" applyFont="1" applyAlignment="1">
      <alignment vertical="center"/>
    </xf>
    <xf numFmtId="0" fontId="7" fillId="0" borderId="0" xfId="0" applyFont="1" applyAlignment="1">
      <alignment vertical="center"/>
    </xf>
    <xf numFmtId="10" fontId="6" fillId="7" borderId="1" xfId="7" applyNumberFormat="1" applyFont="1" applyFill="1" applyBorder="1" applyAlignment="1">
      <alignment horizontal="center" vertical="center" wrapText="1"/>
    </xf>
    <xf numFmtId="0" fontId="8" fillId="0" borderId="0" xfId="0" quotePrefix="1" applyFont="1" applyAlignment="1">
      <alignment vertical="center"/>
    </xf>
    <xf numFmtId="10" fontId="8" fillId="0" borderId="0" xfId="0" applyNumberFormat="1" applyFont="1" applyAlignment="1">
      <alignment horizontal="center" vertical="center"/>
    </xf>
    <xf numFmtId="0" fontId="16" fillId="0" borderId="0" xfId="0" applyFont="1"/>
    <xf numFmtId="0" fontId="6" fillId="8" borderId="4" xfId="0" applyFont="1" applyFill="1" applyBorder="1"/>
    <xf numFmtId="0" fontId="9" fillId="2" borderId="13" xfId="0" applyFont="1" applyFill="1" applyBorder="1" applyAlignment="1">
      <alignment horizontal="center" vertical="center"/>
    </xf>
    <xf numFmtId="165" fontId="6" fillId="0" borderId="0" xfId="6" applyFont="1" applyAlignment="1">
      <alignment horizontal="left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21" xfId="0" applyFont="1" applyFill="1" applyBorder="1" applyAlignment="1">
      <alignment horizontal="center" vertical="center"/>
    </xf>
    <xf numFmtId="0" fontId="6" fillId="0" borderId="0" xfId="4" applyFont="1" applyAlignment="1">
      <alignment horizontal="left" vertical="center" wrapText="1"/>
    </xf>
    <xf numFmtId="0" fontId="8" fillId="0" borderId="0" xfId="0" applyFont="1" applyAlignment="1">
      <alignment vertical="center" wrapText="1"/>
    </xf>
    <xf numFmtId="165" fontId="6" fillId="0" borderId="0" xfId="6" applyFont="1" applyAlignment="1">
      <alignment horizontal="left" vertical="center"/>
    </xf>
  </cellXfs>
  <cellStyles count="20">
    <cellStyle name="Comma" xfId="1" builtinId="3"/>
    <cellStyle name="Comma 2" xfId="10" xr:uid="{00000000-0005-0000-0000-000001000000}"/>
    <cellStyle name="Comma 2 2" xfId="15" xr:uid="{00000000-0005-0000-0000-000002000000}"/>
    <cellStyle name="Comma 3" xfId="13" xr:uid="{00000000-0005-0000-0000-000003000000}"/>
    <cellStyle name="Comma 4" xfId="17" xr:uid="{00000000-0005-0000-0000-000004000000}"/>
    <cellStyle name="Currency" xfId="2" builtinId="4"/>
    <cellStyle name="Currency 2" xfId="12" xr:uid="{00000000-0005-0000-0000-000006000000}"/>
    <cellStyle name="Currency 2 2" xfId="16" xr:uid="{00000000-0005-0000-0000-000007000000}"/>
    <cellStyle name="Currency 3" xfId="18" xr:uid="{00000000-0005-0000-0000-000008000000}"/>
    <cellStyle name="Normal" xfId="0" builtinId="0"/>
    <cellStyle name="Normal 2" xfId="9" xr:uid="{00000000-0005-0000-0000-00000A000000}"/>
    <cellStyle name="Normal 2 2" xfId="14" xr:uid="{00000000-0005-0000-0000-00000B000000}"/>
    <cellStyle name="Normal 3" xfId="11" xr:uid="{00000000-0005-0000-0000-00000C000000}"/>
    <cellStyle name="Normal 9" xfId="8" xr:uid="{00000000-0005-0000-0000-00000D000000}"/>
    <cellStyle name="Normal_adminsummary_fy0304waiver" xfId="3" xr:uid="{00000000-0005-0000-0000-00000E000000}"/>
    <cellStyle name="Normal_Conversion CE sample" xfId="4" xr:uid="{00000000-0005-0000-0000-00000F000000}"/>
    <cellStyle name="Normal_NE6410WAIVER_BYQ4.XLW" xfId="5" xr:uid="{00000000-0005-0000-0000-000010000000}"/>
    <cellStyle name="Normal_Psych_Psych" xfId="6" xr:uid="{00000000-0005-0000-0000-000011000000}"/>
    <cellStyle name="Percent" xfId="7" builtinId="5"/>
    <cellStyle name="Percent 2" xfId="19" xr:uid="{00000000-0005-0000-0000-000013000000}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O44"/>
  <sheetViews>
    <sheetView showGridLines="0" tabSelected="1" zoomScale="80" zoomScaleNormal="80" workbookViewId="0"/>
  </sheetViews>
  <sheetFormatPr defaultColWidth="9.1796875" defaultRowHeight="12.5" x14ac:dyDescent="0.25"/>
  <cols>
    <col min="1" max="1" width="7.1796875" style="4" bestFit="1" customWidth="1"/>
    <col min="2" max="2" width="41.7265625" style="7" customWidth="1"/>
    <col min="3" max="15" width="15.7265625" style="7" customWidth="1"/>
    <col min="16" max="16" width="20.7265625" style="7" customWidth="1"/>
    <col min="17" max="17" width="15.7265625" style="7" customWidth="1"/>
    <col min="18" max="16384" width="9.1796875" style="7"/>
  </cols>
  <sheetData>
    <row r="1" spans="1:249" s="2" customFormat="1" ht="30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IO1" s="3"/>
    </row>
    <row r="2" spans="1:249" ht="17.25" customHeight="1" x14ac:dyDescent="0.25">
      <c r="A2" s="4">
        <v>2</v>
      </c>
      <c r="B2" s="5" t="s">
        <v>236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spans="1:249" ht="17.25" customHeight="1" x14ac:dyDescent="0.25">
      <c r="A3" s="4">
        <v>3</v>
      </c>
      <c r="B3" s="5" t="s">
        <v>389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</row>
    <row r="4" spans="1:249" ht="17.25" customHeight="1" x14ac:dyDescent="0.25">
      <c r="A4" s="4">
        <v>4</v>
      </c>
      <c r="B4" s="532" t="s">
        <v>528</v>
      </c>
      <c r="C4" s="6"/>
      <c r="D4" s="6"/>
      <c r="E4" s="476"/>
      <c r="F4" s="476" t="s">
        <v>384</v>
      </c>
      <c r="G4" s="478" t="s">
        <v>522</v>
      </c>
      <c r="H4" s="476"/>
      <c r="I4" s="6"/>
      <c r="J4" s="6"/>
      <c r="K4" s="6"/>
      <c r="L4" s="6"/>
      <c r="M4" s="6"/>
      <c r="N4" s="6"/>
      <c r="O4" s="477"/>
    </row>
    <row r="5" spans="1:249" ht="24" customHeight="1" x14ac:dyDescent="0.25">
      <c r="A5" s="4">
        <v>5</v>
      </c>
      <c r="B5" s="7" t="s">
        <v>387</v>
      </c>
      <c r="C5" s="476" t="s">
        <v>394</v>
      </c>
      <c r="D5" s="475">
        <v>43586</v>
      </c>
      <c r="E5" s="7" t="s">
        <v>388</v>
      </c>
      <c r="F5" s="475">
        <v>43982</v>
      </c>
      <c r="G5" s="7" t="s">
        <v>392</v>
      </c>
      <c r="H5" s="475">
        <v>43983</v>
      </c>
      <c r="I5" s="7" t="s">
        <v>388</v>
      </c>
      <c r="J5" s="475">
        <v>44196</v>
      </c>
      <c r="K5" s="477" t="s">
        <v>393</v>
      </c>
      <c r="L5"/>
      <c r="M5"/>
      <c r="N5" s="8"/>
    </row>
    <row r="6" spans="1:249" s="8" customFormat="1" ht="18" customHeight="1" x14ac:dyDescent="0.25">
      <c r="A6" s="4">
        <v>6</v>
      </c>
      <c r="B6" s="476" t="s">
        <v>390</v>
      </c>
      <c r="C6" s="476" t="s">
        <v>385</v>
      </c>
      <c r="D6" s="475">
        <v>44348</v>
      </c>
      <c r="E6" s="7" t="s">
        <v>388</v>
      </c>
      <c r="F6" s="475">
        <v>44712</v>
      </c>
      <c r="G6" s="476" t="s">
        <v>386</v>
      </c>
      <c r="H6" s="475">
        <v>44713</v>
      </c>
      <c r="I6" s="7" t="s">
        <v>388</v>
      </c>
      <c r="J6" s="475">
        <v>45077</v>
      </c>
      <c r="K6" s="477" t="s">
        <v>391</v>
      </c>
      <c r="L6" s="7"/>
      <c r="M6" s="7"/>
      <c r="N6" s="7"/>
    </row>
    <row r="7" spans="1:249" s="8" customFormat="1" ht="18" customHeight="1" x14ac:dyDescent="0.25">
      <c r="A7" s="4"/>
      <c r="B7" s="476" t="s">
        <v>390</v>
      </c>
      <c r="C7" s="476" t="s">
        <v>434</v>
      </c>
      <c r="D7" s="475">
        <v>45078</v>
      </c>
      <c r="E7" s="7" t="s">
        <v>388</v>
      </c>
      <c r="F7" s="475">
        <v>45443</v>
      </c>
      <c r="G7" s="476" t="s">
        <v>435</v>
      </c>
      <c r="H7" s="475">
        <v>45444</v>
      </c>
      <c r="I7" s="7" t="s">
        <v>388</v>
      </c>
      <c r="J7" s="475">
        <v>45808</v>
      </c>
      <c r="K7" s="476" t="s">
        <v>436</v>
      </c>
      <c r="L7" s="475">
        <v>45809</v>
      </c>
      <c r="M7" s="7" t="s">
        <v>388</v>
      </c>
      <c r="N7" s="475">
        <v>46173</v>
      </c>
      <c r="P7" s="470" t="s">
        <v>395</v>
      </c>
      <c r="Q7" s="471"/>
    </row>
    <row r="8" spans="1:249" s="8" customFormat="1" ht="24" customHeight="1" x14ac:dyDescent="0.25">
      <c r="A8" s="4">
        <v>7</v>
      </c>
      <c r="B8" s="492" t="s">
        <v>14</v>
      </c>
      <c r="C8" s="308" t="s">
        <v>234</v>
      </c>
      <c r="D8" s="303" t="s">
        <v>235</v>
      </c>
      <c r="E8" s="308" t="s">
        <v>212</v>
      </c>
      <c r="F8" s="270" t="s">
        <v>213</v>
      </c>
      <c r="G8" s="270" t="s">
        <v>214</v>
      </c>
      <c r="H8" s="270" t="s">
        <v>215</v>
      </c>
      <c r="I8" s="271" t="s">
        <v>15</v>
      </c>
      <c r="J8" s="270" t="s">
        <v>216</v>
      </c>
      <c r="K8" s="270" t="s">
        <v>217</v>
      </c>
      <c r="L8" s="270" t="s">
        <v>218</v>
      </c>
      <c r="M8" s="270" t="s">
        <v>219</v>
      </c>
      <c r="N8" s="271" t="s">
        <v>16</v>
      </c>
      <c r="P8" s="461" t="s">
        <v>242</v>
      </c>
      <c r="Q8" s="479">
        <v>212</v>
      </c>
    </row>
    <row r="9" spans="1:249" s="8" customFormat="1" ht="18" customHeight="1" x14ac:dyDescent="0.25">
      <c r="A9" s="4">
        <v>8</v>
      </c>
      <c r="B9" s="306"/>
      <c r="C9" s="480">
        <f>F5</f>
        <v>43982</v>
      </c>
      <c r="D9" s="481">
        <f>J5</f>
        <v>44196</v>
      </c>
      <c r="E9" s="482">
        <f>D6</f>
        <v>44348</v>
      </c>
      <c r="F9" s="483">
        <f>E9+92</f>
        <v>44440</v>
      </c>
      <c r="G9" s="483">
        <f>F9+91</f>
        <v>44531</v>
      </c>
      <c r="H9" s="483">
        <f>G9+90</f>
        <v>44621</v>
      </c>
      <c r="I9" s="272" t="s">
        <v>18</v>
      </c>
      <c r="J9" s="483">
        <f>H6</f>
        <v>44713</v>
      </c>
      <c r="K9" s="483">
        <f>+J9+92</f>
        <v>44805</v>
      </c>
      <c r="L9" s="483">
        <f>K9+91</f>
        <v>44896</v>
      </c>
      <c r="M9" s="483">
        <f>L9+90</f>
        <v>44986</v>
      </c>
      <c r="N9" s="272" t="s">
        <v>19</v>
      </c>
      <c r="P9" s="461" t="s">
        <v>375</v>
      </c>
      <c r="Q9" s="479">
        <v>152</v>
      </c>
    </row>
    <row r="10" spans="1:249" s="8" customFormat="1" ht="18" customHeight="1" x14ac:dyDescent="0.25">
      <c r="A10" s="4">
        <v>9</v>
      </c>
      <c r="B10" s="405" t="s">
        <v>519</v>
      </c>
      <c r="C10" s="388">
        <v>35763</v>
      </c>
      <c r="D10" s="389">
        <v>19424</v>
      </c>
      <c r="E10" s="388">
        <v>8696.6833826052734</v>
      </c>
      <c r="F10" s="392">
        <v>8605.8994991332384</v>
      </c>
      <c r="G10" s="392">
        <v>8100.3983298003095</v>
      </c>
      <c r="H10" s="392">
        <v>8935.6180954837837</v>
      </c>
      <c r="I10" s="9">
        <f>SUM(E10:H10)</f>
        <v>34338.599307022603</v>
      </c>
      <c r="J10" s="394">
        <v>8971.8033045412467</v>
      </c>
      <c r="K10" s="394">
        <v>8878.1474693336986</v>
      </c>
      <c r="L10" s="394">
        <v>8356.6547505643975</v>
      </c>
      <c r="M10" s="394">
        <v>9218.2967264888284</v>
      </c>
      <c r="N10" s="9">
        <f>SUM(J10:M10)</f>
        <v>35424.902250928171</v>
      </c>
      <c r="P10" s="461" t="s">
        <v>376</v>
      </c>
      <c r="Q10" s="479">
        <f>F6-D6</f>
        <v>364</v>
      </c>
    </row>
    <row r="11" spans="1:249" s="8" customFormat="1" ht="18" customHeight="1" x14ac:dyDescent="0.25">
      <c r="A11" s="4">
        <v>10</v>
      </c>
      <c r="B11" s="405" t="s">
        <v>520</v>
      </c>
      <c r="C11" s="388">
        <v>116518</v>
      </c>
      <c r="D11" s="389">
        <v>68089</v>
      </c>
      <c r="E11" s="388">
        <v>35079.550355606269</v>
      </c>
      <c r="F11" s="392">
        <v>35819.858826819327</v>
      </c>
      <c r="G11" s="392">
        <v>36575.79054938523</v>
      </c>
      <c r="H11" s="392">
        <v>37347.675231786758</v>
      </c>
      <c r="I11" s="9">
        <f>SUM(E11:H11)</f>
        <v>144822.87496359757</v>
      </c>
      <c r="J11" s="394">
        <v>38135.849540577095</v>
      </c>
      <c r="K11" s="394">
        <v>38940.657247221032</v>
      </c>
      <c r="L11" s="394">
        <v>39762.449378034806</v>
      </c>
      <c r="M11" s="394">
        <v>40601.584367290343</v>
      </c>
      <c r="N11" s="9">
        <f>SUM(J11:M11)</f>
        <v>157440.54053312328</v>
      </c>
      <c r="P11" s="461" t="s">
        <v>377</v>
      </c>
      <c r="Q11" s="479">
        <f>J6-H6</f>
        <v>364</v>
      </c>
    </row>
    <row r="12" spans="1:249" s="8" customFormat="1" ht="18" customHeight="1" x14ac:dyDescent="0.25">
      <c r="A12" s="4">
        <v>11</v>
      </c>
      <c r="B12" s="405" t="s">
        <v>521</v>
      </c>
      <c r="C12" s="388">
        <v>73249</v>
      </c>
      <c r="D12" s="389">
        <v>40023</v>
      </c>
      <c r="E12" s="388">
        <v>17854.341161771801</v>
      </c>
      <c r="F12" s="392">
        <v>17931.623639893649</v>
      </c>
      <c r="G12" s="392">
        <v>18139.450844572671</v>
      </c>
      <c r="H12" s="392">
        <v>18550.340553417413</v>
      </c>
      <c r="I12" s="9">
        <f>SUM(E12:H12)</f>
        <v>72475.756199655531</v>
      </c>
      <c r="J12" s="394">
        <v>18646.320678576209</v>
      </c>
      <c r="K12" s="394">
        <v>18727.031238368829</v>
      </c>
      <c r="L12" s="394">
        <v>18944.077203216551</v>
      </c>
      <c r="M12" s="394">
        <v>19373.193080706904</v>
      </c>
      <c r="N12" s="9">
        <f>SUM(J12:M12)</f>
        <v>75690.622200868485</v>
      </c>
      <c r="P12" s="461" t="s">
        <v>437</v>
      </c>
      <c r="Q12" s="479">
        <f>F7-D7</f>
        <v>365</v>
      </c>
    </row>
    <row r="13" spans="1:249" s="8" customFormat="1" ht="18" customHeight="1" thickBot="1" x14ac:dyDescent="0.3">
      <c r="A13" s="4">
        <v>12</v>
      </c>
      <c r="B13" s="406" t="s">
        <v>546</v>
      </c>
      <c r="C13" s="390">
        <v>366434</v>
      </c>
      <c r="D13" s="391">
        <v>219495</v>
      </c>
      <c r="E13" s="390">
        <v>95753.440411591771</v>
      </c>
      <c r="F13" s="393">
        <v>98740.26057091754</v>
      </c>
      <c r="G13" s="393">
        <v>93775.811393725773</v>
      </c>
      <c r="H13" s="393">
        <v>93824.31053064196</v>
      </c>
      <c r="I13" s="11">
        <f>SUM(E13:H13)</f>
        <v>382093.82290687703</v>
      </c>
      <c r="J13" s="395">
        <v>99667.862493497945</v>
      </c>
      <c r="K13" s="395">
        <v>102736.78338146677</v>
      </c>
      <c r="L13" s="395">
        <v>97751.247246693674</v>
      </c>
      <c r="M13" s="395">
        <v>97897.108956102253</v>
      </c>
      <c r="N13" s="9">
        <f>SUM(J13:M13)</f>
        <v>398053.00207776064</v>
      </c>
      <c r="P13" s="461" t="s">
        <v>438</v>
      </c>
      <c r="Q13" s="479">
        <f>J7-H7</f>
        <v>364</v>
      </c>
    </row>
    <row r="14" spans="1:249" s="8" customFormat="1" ht="18" customHeight="1" thickTop="1" x14ac:dyDescent="0.25">
      <c r="A14" s="4">
        <v>13</v>
      </c>
      <c r="B14" s="307" t="s">
        <v>21</v>
      </c>
      <c r="C14" s="309">
        <f>SUM(C10:C13)</f>
        <v>591964</v>
      </c>
      <c r="D14" s="305">
        <f>SUM(D10:D13)</f>
        <v>347031</v>
      </c>
      <c r="E14" s="309">
        <f t="shared" ref="E14:N14" si="0">SUM(E10:E13)</f>
        <v>157384.01531157512</v>
      </c>
      <c r="F14" s="12">
        <f t="shared" si="0"/>
        <v>161097.64253676374</v>
      </c>
      <c r="G14" s="12">
        <f t="shared" si="0"/>
        <v>156591.45111748399</v>
      </c>
      <c r="H14" s="12">
        <f t="shared" si="0"/>
        <v>158657.94441132993</v>
      </c>
      <c r="I14" s="12">
        <f t="shared" si="0"/>
        <v>633731.05337715277</v>
      </c>
      <c r="J14" s="12">
        <f t="shared" si="0"/>
        <v>165421.83601719252</v>
      </c>
      <c r="K14" s="12">
        <f t="shared" si="0"/>
        <v>169282.61933639034</v>
      </c>
      <c r="L14" s="12">
        <f t="shared" si="0"/>
        <v>164814.42857850943</v>
      </c>
      <c r="M14" s="12">
        <f t="shared" si="0"/>
        <v>167090.18313058832</v>
      </c>
      <c r="N14" s="12">
        <f t="shared" si="0"/>
        <v>666609.06706268061</v>
      </c>
      <c r="P14" s="461" t="s">
        <v>439</v>
      </c>
      <c r="Q14" s="479">
        <f>N7-L7</f>
        <v>364</v>
      </c>
    </row>
    <row r="15" spans="1:249" s="233" customFormat="1" ht="18" customHeight="1" x14ac:dyDescent="0.25">
      <c r="A15" s="4">
        <v>14</v>
      </c>
      <c r="B15" s="494" t="s">
        <v>22</v>
      </c>
      <c r="C15" s="495"/>
      <c r="D15" s="499"/>
      <c r="E15" s="495"/>
      <c r="F15" s="496">
        <f>F14/E14-1</f>
        <v>2.359596187603108E-2</v>
      </c>
      <c r="G15" s="496">
        <f>G14/F14-1</f>
        <v>-2.7971802369804455E-2</v>
      </c>
      <c r="H15" s="496">
        <f>H14/G14-1</f>
        <v>1.3196718461313317E-2</v>
      </c>
      <c r="I15" s="496"/>
      <c r="J15" s="496">
        <f>J14/H14-1</f>
        <v>4.2631912514426773E-2</v>
      </c>
      <c r="K15" s="496">
        <f>K14/J14-1</f>
        <v>2.3339018669799927E-2</v>
      </c>
      <c r="L15" s="496">
        <f>L14/K14-1</f>
        <v>-2.6394858346337036E-2</v>
      </c>
      <c r="M15" s="496">
        <f>M14/L14-1</f>
        <v>1.380798132606964E-2</v>
      </c>
      <c r="N15" s="496"/>
      <c r="P15" s="461" t="s">
        <v>399</v>
      </c>
      <c r="Q15" s="9">
        <f>SUM(Q8:Q11)</f>
        <v>1092</v>
      </c>
    </row>
    <row r="16" spans="1:249" s="8" customFormat="1" ht="18" customHeight="1" x14ac:dyDescent="0.25">
      <c r="A16" s="4">
        <v>15</v>
      </c>
      <c r="B16" s="497"/>
      <c r="C16" s="497"/>
      <c r="D16" s="498"/>
      <c r="E16" s="497"/>
      <c r="F16" s="497"/>
      <c r="G16" s="497"/>
      <c r="H16" s="497"/>
      <c r="I16" s="498"/>
      <c r="J16" s="498"/>
      <c r="K16" s="498"/>
      <c r="L16" s="498"/>
      <c r="M16" s="498"/>
      <c r="N16" s="498"/>
      <c r="P16" s="461" t="s">
        <v>396</v>
      </c>
      <c r="Q16" s="461">
        <f>+Q15-365</f>
        <v>727</v>
      </c>
    </row>
    <row r="17" spans="1:17" ht="18" customHeight="1" x14ac:dyDescent="0.25">
      <c r="A17" s="4">
        <v>16</v>
      </c>
      <c r="B17" s="13"/>
      <c r="K17" s="14"/>
      <c r="L17" s="14"/>
      <c r="M17" s="14"/>
      <c r="N17" s="14"/>
      <c r="P17" s="474" t="s">
        <v>398</v>
      </c>
      <c r="Q17" s="9">
        <f>SUM(Q8:Q10)</f>
        <v>728</v>
      </c>
    </row>
    <row r="18" spans="1:17" ht="18" customHeight="1" x14ac:dyDescent="0.25">
      <c r="A18" s="4">
        <v>17</v>
      </c>
      <c r="B18" s="15"/>
      <c r="E18" s="240"/>
      <c r="F18" s="241"/>
      <c r="G18" s="241"/>
      <c r="H18" s="241"/>
      <c r="J18" s="310" t="s">
        <v>17</v>
      </c>
      <c r="K18" s="310" t="s">
        <v>17</v>
      </c>
      <c r="L18" s="14"/>
      <c r="M18" s="14"/>
      <c r="N18" s="14"/>
      <c r="P18" s="461" t="s">
        <v>397</v>
      </c>
      <c r="Q18" s="9">
        <f>Q17-365</f>
        <v>363</v>
      </c>
    </row>
    <row r="19" spans="1:17" x14ac:dyDescent="0.25">
      <c r="A19" s="4">
        <v>18</v>
      </c>
      <c r="E19" s="240"/>
      <c r="F19" s="241"/>
      <c r="G19" s="241"/>
      <c r="H19" s="241"/>
      <c r="J19" s="311" t="s">
        <v>402</v>
      </c>
      <c r="K19" s="311" t="s">
        <v>403</v>
      </c>
      <c r="P19" s="461" t="s">
        <v>440</v>
      </c>
      <c r="Q19" s="9">
        <f>SUM(Q8:Q12)</f>
        <v>1457</v>
      </c>
    </row>
    <row r="20" spans="1:17" ht="12.75" customHeight="1" x14ac:dyDescent="0.25">
      <c r="A20" s="4">
        <v>19</v>
      </c>
      <c r="B20" s="246"/>
      <c r="C20" s="22"/>
      <c r="D20" s="22"/>
      <c r="E20" s="246"/>
      <c r="F20" s="246"/>
      <c r="G20" s="246"/>
      <c r="H20" s="245"/>
      <c r="I20" s="405" t="s">
        <v>519</v>
      </c>
      <c r="J20" s="312">
        <f>I10+N10</f>
        <v>69763.501557950774</v>
      </c>
      <c r="K20" s="312">
        <f>I10+N10+G32+L32+Q32</f>
        <v>182905.14845902912</v>
      </c>
      <c r="P20" s="461" t="s">
        <v>396</v>
      </c>
      <c r="Q20" s="461">
        <f>+Q19-365</f>
        <v>1092</v>
      </c>
    </row>
    <row r="21" spans="1:17" ht="12.75" customHeight="1" x14ac:dyDescent="0.25">
      <c r="A21" s="4">
        <v>20</v>
      </c>
      <c r="B21" s="403" t="s">
        <v>332</v>
      </c>
      <c r="C21" s="404"/>
      <c r="D21" s="22"/>
      <c r="E21" s="65"/>
      <c r="F21" s="65"/>
      <c r="G21" s="65"/>
      <c r="H21" s="245"/>
      <c r="I21" s="405" t="s">
        <v>520</v>
      </c>
      <c r="J21" s="312">
        <f>I11+N11</f>
        <v>302263.41549672082</v>
      </c>
      <c r="K21" s="312">
        <f>I11+N11+G33+L33+Q33</f>
        <v>861771.37896932929</v>
      </c>
      <c r="P21" s="474" t="s">
        <v>441</v>
      </c>
      <c r="Q21" s="9">
        <f>SUM(Q8:Q13)</f>
        <v>1821</v>
      </c>
    </row>
    <row r="22" spans="1:17" ht="12.75" customHeight="1" x14ac:dyDescent="0.25">
      <c r="A22" s="4">
        <v>21</v>
      </c>
      <c r="B22" s="413" t="s">
        <v>333</v>
      </c>
      <c r="D22" s="8"/>
      <c r="E22" s="8"/>
      <c r="F22" s="8"/>
      <c r="G22" s="8"/>
      <c r="H22" s="472"/>
      <c r="I22" s="405" t="s">
        <v>521</v>
      </c>
      <c r="J22" s="312">
        <f>I12+N12</f>
        <v>148166.37840052403</v>
      </c>
      <c r="K22" s="312">
        <f>I12+N12+G34+L34+Q34</f>
        <v>395985.39393394929</v>
      </c>
      <c r="P22" s="461" t="s">
        <v>397</v>
      </c>
      <c r="Q22" s="9">
        <f>Q21-365</f>
        <v>1456</v>
      </c>
    </row>
    <row r="23" spans="1:17" ht="13" thickBot="1" x14ac:dyDescent="0.25">
      <c r="A23" s="4">
        <v>22</v>
      </c>
      <c r="B23" s="420" t="s">
        <v>431</v>
      </c>
      <c r="C23" s="420"/>
      <c r="D23" s="488"/>
      <c r="E23" s="488"/>
      <c r="F23" s="488"/>
      <c r="G23" s="488"/>
      <c r="H23" s="500"/>
      <c r="I23" s="406" t="s">
        <v>546</v>
      </c>
      <c r="J23" s="312">
        <f>I13+N13</f>
        <v>780146.82498463767</v>
      </c>
      <c r="K23" s="312">
        <f>I13+N13+G35+L35+Q35</f>
        <v>2085699.8321709847</v>
      </c>
      <c r="O23" s="505"/>
      <c r="P23" s="504" t="s">
        <v>442</v>
      </c>
      <c r="Q23" s="9">
        <f>SUM(Q8:Q14)</f>
        <v>2185</v>
      </c>
    </row>
    <row r="24" spans="1:17" ht="13.5" thickTop="1" thickBot="1" x14ac:dyDescent="0.3">
      <c r="A24" s="4">
        <v>23</v>
      </c>
      <c r="B24" s="420" t="s">
        <v>432</v>
      </c>
      <c r="C24" s="420"/>
      <c r="D24" s="420"/>
      <c r="E24" s="420"/>
      <c r="F24" s="420"/>
      <c r="G24" s="420"/>
      <c r="H24" s="501"/>
      <c r="J24" s="491">
        <f>SUM(J20:J23)</f>
        <v>1300340.1204398333</v>
      </c>
      <c r="K24" s="491">
        <f>SUM(K20:K23)</f>
        <v>3526361.7535332926</v>
      </c>
      <c r="O24" s="8"/>
      <c r="P24" s="461" t="s">
        <v>397</v>
      </c>
      <c r="Q24" s="9">
        <f>Q23-365</f>
        <v>1820</v>
      </c>
    </row>
    <row r="25" spans="1:17" x14ac:dyDescent="0.25">
      <c r="A25" s="4">
        <v>24</v>
      </c>
      <c r="B25" s="420" t="s">
        <v>401</v>
      </c>
      <c r="C25" s="420"/>
      <c r="D25" s="420"/>
      <c r="E25" s="420"/>
      <c r="F25" s="420"/>
      <c r="G25" s="420"/>
      <c r="H25" s="501"/>
      <c r="K25" s="14"/>
      <c r="O25" s="14"/>
    </row>
    <row r="26" spans="1:17" x14ac:dyDescent="0.25">
      <c r="A26" s="4">
        <v>25</v>
      </c>
      <c r="B26" s="4"/>
      <c r="C26" s="8"/>
      <c r="D26" s="8"/>
      <c r="E26" s="8"/>
      <c r="F26" s="8"/>
      <c r="G26" s="8"/>
      <c r="H26" s="8"/>
      <c r="K26" s="242"/>
      <c r="L26" s="489"/>
      <c r="M26" s="14"/>
      <c r="N26" s="489"/>
      <c r="O26" s="14"/>
    </row>
    <row r="27" spans="1:17" x14ac:dyDescent="0.25">
      <c r="A27" s="4">
        <v>26</v>
      </c>
      <c r="B27" s="4"/>
      <c r="C27" s="8"/>
      <c r="D27" s="8"/>
      <c r="E27" s="8"/>
      <c r="F27" s="8"/>
      <c r="G27" s="8"/>
      <c r="H27" s="8"/>
      <c r="K27" s="242"/>
      <c r="L27" s="490"/>
      <c r="N27" s="490"/>
    </row>
    <row r="28" spans="1:17" x14ac:dyDescent="0.25">
      <c r="A28" s="4">
        <v>27</v>
      </c>
      <c r="B28" s="4"/>
      <c r="C28" s="8"/>
      <c r="D28" s="8"/>
      <c r="E28" s="8"/>
      <c r="F28" s="8"/>
      <c r="G28" s="8"/>
      <c r="H28"/>
    </row>
    <row r="29" spans="1:17" x14ac:dyDescent="0.25">
      <c r="A29" s="4">
        <v>28</v>
      </c>
      <c r="B29" s="4"/>
      <c r="C29" s="8"/>
      <c r="D29" s="8"/>
      <c r="E29" s="8"/>
      <c r="F29" s="8"/>
      <c r="G29" s="8"/>
      <c r="H29"/>
      <c r="I29"/>
    </row>
    <row r="30" spans="1:17" ht="24" customHeight="1" x14ac:dyDescent="0.25">
      <c r="A30" s="4">
        <v>29</v>
      </c>
      <c r="B30" s="492" t="s">
        <v>14</v>
      </c>
      <c r="C30" s="308" t="s">
        <v>404</v>
      </c>
      <c r="D30" s="270" t="s">
        <v>405</v>
      </c>
      <c r="E30" s="270" t="s">
        <v>406</v>
      </c>
      <c r="F30" s="270" t="s">
        <v>407</v>
      </c>
      <c r="G30" s="271" t="s">
        <v>408</v>
      </c>
      <c r="H30" s="270" t="s">
        <v>409</v>
      </c>
      <c r="I30" s="270" t="s">
        <v>410</v>
      </c>
      <c r="J30" s="270" t="s">
        <v>411</v>
      </c>
      <c r="K30" s="270" t="s">
        <v>412</v>
      </c>
      <c r="L30" s="271" t="s">
        <v>413</v>
      </c>
      <c r="M30" s="270" t="s">
        <v>416</v>
      </c>
      <c r="N30" s="270" t="s">
        <v>417</v>
      </c>
      <c r="O30" s="270" t="s">
        <v>418</v>
      </c>
      <c r="P30" s="270" t="s">
        <v>419</v>
      </c>
      <c r="Q30" s="271" t="s">
        <v>420</v>
      </c>
    </row>
    <row r="31" spans="1:17" ht="18" customHeight="1" x14ac:dyDescent="0.25">
      <c r="A31" s="4">
        <v>30</v>
      </c>
      <c r="B31" s="306"/>
      <c r="C31" s="482">
        <f>D7</f>
        <v>45078</v>
      </c>
      <c r="D31" s="483">
        <f>+C31+92</f>
        <v>45170</v>
      </c>
      <c r="E31" s="483">
        <f>D31+91</f>
        <v>45261</v>
      </c>
      <c r="F31" s="483">
        <f>E31+91</f>
        <v>45352</v>
      </c>
      <c r="G31" s="272" t="s">
        <v>414</v>
      </c>
      <c r="H31" s="483">
        <f>H7</f>
        <v>45444</v>
      </c>
      <c r="I31" s="483">
        <f>+H31+92</f>
        <v>45536</v>
      </c>
      <c r="J31" s="483">
        <f>I31+91</f>
        <v>45627</v>
      </c>
      <c r="K31" s="483">
        <f>J31+90</f>
        <v>45717</v>
      </c>
      <c r="L31" s="272" t="s">
        <v>415</v>
      </c>
      <c r="M31" s="483">
        <f>L7</f>
        <v>45809</v>
      </c>
      <c r="N31" s="483">
        <f>+M31+92</f>
        <v>45901</v>
      </c>
      <c r="O31" s="483">
        <f>N31+91</f>
        <v>45992</v>
      </c>
      <c r="P31" s="483">
        <f>O31+90</f>
        <v>46082</v>
      </c>
      <c r="Q31" s="272" t="s">
        <v>421</v>
      </c>
    </row>
    <row r="32" spans="1:17" ht="18" customHeight="1" x14ac:dyDescent="0.25">
      <c r="A32" s="4">
        <v>31</v>
      </c>
      <c r="B32" s="405" t="s">
        <v>519</v>
      </c>
      <c r="C32" s="388">
        <v>9255.6266560625081</v>
      </c>
      <c r="D32" s="392">
        <v>9159.0080148129819</v>
      </c>
      <c r="E32" s="392">
        <v>8621.0178533099424</v>
      </c>
      <c r="F32" s="392">
        <v>9509.917907138788</v>
      </c>
      <c r="G32" s="9">
        <f>SUM(C32:F32)</f>
        <v>36545.570431324217</v>
      </c>
      <c r="H32" s="394">
        <v>9548.4287705073839</v>
      </c>
      <c r="I32" s="394">
        <v>9448.7535947298438</v>
      </c>
      <c r="J32" s="394">
        <v>8893.7440932412756</v>
      </c>
      <c r="K32" s="394">
        <v>9810.7645353445114</v>
      </c>
      <c r="L32" s="9">
        <f>SUM(H32:K32)</f>
        <v>37701.690993823009</v>
      </c>
      <c r="M32" s="394">
        <v>9850.4936913952151</v>
      </c>
      <c r="N32" s="394">
        <v>9747.6652874992724</v>
      </c>
      <c r="O32" s="394">
        <v>9175.0980385332405</v>
      </c>
      <c r="P32" s="394">
        <v>10121.128458503412</v>
      </c>
      <c r="Q32" s="9">
        <f>SUM(M32:P32)</f>
        <v>38894.385475931136</v>
      </c>
    </row>
    <row r="33" spans="1:17" ht="18" customHeight="1" x14ac:dyDescent="0.25">
      <c r="A33" s="4">
        <v>32</v>
      </c>
      <c r="B33" s="405" t="s">
        <v>520</v>
      </c>
      <c r="C33" s="388">
        <v>41458.428213550556</v>
      </c>
      <c r="D33" s="392">
        <v>42333.354639304045</v>
      </c>
      <c r="E33" s="392">
        <v>43226.745253968402</v>
      </c>
      <c r="F33" s="392">
        <v>44138.989720333644</v>
      </c>
      <c r="G33" s="9">
        <f>SUM(C33:F33)</f>
        <v>171157.51782715664</v>
      </c>
      <c r="H33" s="394">
        <v>45070.485924518223</v>
      </c>
      <c r="I33" s="394">
        <v>46021.640149511804</v>
      </c>
      <c r="J33" s="394">
        <v>46992.867252380252</v>
      </c>
      <c r="K33" s="394">
        <v>47984.590845210434</v>
      </c>
      <c r="L33" s="9">
        <f>SUM(H33:K33)</f>
        <v>186069.58417162072</v>
      </c>
      <c r="M33" s="394">
        <v>48997.243479873548</v>
      </c>
      <c r="N33" s="394">
        <v>50031.266836687821</v>
      </c>
      <c r="O33" s="394">
        <v>51087.111917062473</v>
      </c>
      <c r="P33" s="394">
        <v>52165.239240207251</v>
      </c>
      <c r="Q33" s="9">
        <f>SUM(M33:P33)</f>
        <v>202280.86147383109</v>
      </c>
    </row>
    <row r="34" spans="1:17" ht="18" customHeight="1" x14ac:dyDescent="0.25">
      <c r="A34" s="4">
        <v>33</v>
      </c>
      <c r="B34" s="405" t="s">
        <v>521</v>
      </c>
      <c r="C34" s="388">
        <v>19473.430674257128</v>
      </c>
      <c r="D34" s="392">
        <v>19557.721377924365</v>
      </c>
      <c r="E34" s="392">
        <v>19784.395026975435</v>
      </c>
      <c r="F34" s="392">
        <v>20232.545546082005</v>
      </c>
      <c r="G34" s="9">
        <f>SUM(C34:F34)</f>
        <v>79048.092625238933</v>
      </c>
      <c r="H34" s="394">
        <v>20337.229460008111</v>
      </c>
      <c r="I34" s="394">
        <v>20425.25911490052</v>
      </c>
      <c r="J34" s="394">
        <v>20661.987511165236</v>
      </c>
      <c r="K34" s="394">
        <v>21130.01700695102</v>
      </c>
      <c r="L34" s="9">
        <f>SUM(H34:K34)</f>
        <v>82554.493093024881</v>
      </c>
      <c r="M34" s="394">
        <v>21239.344470298369</v>
      </c>
      <c r="N34" s="394">
        <v>21331.278928113185</v>
      </c>
      <c r="O34" s="394">
        <v>21578.508078182756</v>
      </c>
      <c r="P34" s="394">
        <v>22067.29833856714</v>
      </c>
      <c r="Q34" s="9">
        <f>SUM(M34:P34)</f>
        <v>86216.429815161449</v>
      </c>
    </row>
    <row r="35" spans="1:17" ht="18" customHeight="1" thickBot="1" x14ac:dyDescent="0.3">
      <c r="A35" s="4">
        <v>34</v>
      </c>
      <c r="B35" s="406" t="s">
        <v>546</v>
      </c>
      <c r="C35" s="390">
        <v>103938.02231131477</v>
      </c>
      <c r="D35" s="393">
        <v>107094.98260640865</v>
      </c>
      <c r="E35" s="393">
        <v>102095.88343248454</v>
      </c>
      <c r="F35" s="393">
        <v>102353.62732016042</v>
      </c>
      <c r="G35" s="11">
        <f>SUM(C35:F35)</f>
        <v>415482.51567036833</v>
      </c>
      <c r="H35" s="395">
        <v>108607.82964604255</v>
      </c>
      <c r="I35" s="395">
        <v>111859.51879398696</v>
      </c>
      <c r="J35" s="395">
        <v>106855.55061820665</v>
      </c>
      <c r="K35" s="395">
        <v>107241.70722671846</v>
      </c>
      <c r="L35" s="9">
        <f>SUM(H35:K35)</f>
        <v>434564.60628495459</v>
      </c>
      <c r="M35" s="395">
        <v>113727.055783324</v>
      </c>
      <c r="N35" s="395">
        <v>117081.0199446199</v>
      </c>
      <c r="O35" s="395">
        <v>112082.2090150102</v>
      </c>
      <c r="P35" s="395">
        <v>112615.60048806986</v>
      </c>
      <c r="Q35" s="9">
        <f>SUM(M35:P35)</f>
        <v>455505.885231024</v>
      </c>
    </row>
    <row r="36" spans="1:17" ht="18" customHeight="1" thickTop="1" x14ac:dyDescent="0.25">
      <c r="A36" s="4">
        <v>35</v>
      </c>
      <c r="B36" s="307" t="s">
        <v>21</v>
      </c>
      <c r="C36" s="309">
        <f t="shared" ref="C36:L36" si="1">SUM(C32:C35)</f>
        <v>174125.50785518496</v>
      </c>
      <c r="D36" s="12">
        <f t="shared" si="1"/>
        <v>178145.06663845002</v>
      </c>
      <c r="E36" s="12">
        <f t="shared" si="1"/>
        <v>173728.04156673833</v>
      </c>
      <c r="F36" s="12">
        <f t="shared" si="1"/>
        <v>176235.08049371486</v>
      </c>
      <c r="G36" s="12">
        <f t="shared" si="1"/>
        <v>702233.69655408815</v>
      </c>
      <c r="H36" s="12">
        <f t="shared" si="1"/>
        <v>183563.97380107627</v>
      </c>
      <c r="I36" s="12">
        <f t="shared" si="1"/>
        <v>187755.17165312913</v>
      </c>
      <c r="J36" s="12">
        <f t="shared" si="1"/>
        <v>183404.14947499341</v>
      </c>
      <c r="K36" s="12">
        <f t="shared" si="1"/>
        <v>186167.07961422444</v>
      </c>
      <c r="L36" s="12">
        <f t="shared" si="1"/>
        <v>740890.37454342318</v>
      </c>
      <c r="M36" s="12">
        <f>SUM(M32:M35)</f>
        <v>193814.13742489112</v>
      </c>
      <c r="N36" s="12">
        <f>SUM(N32:N35)</f>
        <v>198191.23099692017</v>
      </c>
      <c r="O36" s="12">
        <f>SUM(O32:O35)</f>
        <v>193922.92704878867</v>
      </c>
      <c r="P36" s="12">
        <f>SUM(P32:P35)</f>
        <v>196969.26652534766</v>
      </c>
      <c r="Q36" s="12">
        <f>SUM(Q32:Q35)</f>
        <v>782897.56199594773</v>
      </c>
    </row>
    <row r="37" spans="1:17" ht="18" customHeight="1" x14ac:dyDescent="0.25">
      <c r="A37" s="4">
        <v>36</v>
      </c>
      <c r="B37" s="494" t="s">
        <v>22</v>
      </c>
      <c r="C37" s="495"/>
      <c r="D37" s="496">
        <f>D36/C36-1</f>
        <v>2.3084261649981785E-2</v>
      </c>
      <c r="E37" s="496">
        <f>E36/D36-1</f>
        <v>-2.4794540511616558E-2</v>
      </c>
      <c r="F37" s="496">
        <f>F36/E36-1</f>
        <v>1.4430824778586038E-2</v>
      </c>
      <c r="G37" s="496"/>
      <c r="H37" s="496">
        <f>H36/F36-1</f>
        <v>4.158589360773024E-2</v>
      </c>
      <c r="I37" s="496">
        <f>I36/H36-1</f>
        <v>2.2832355201651833E-2</v>
      </c>
      <c r="J37" s="496">
        <f>J36/I36-1</f>
        <v>-2.3173913878516639E-2</v>
      </c>
      <c r="K37" s="496">
        <f>K36/J36-1</f>
        <v>1.5064708989082964E-2</v>
      </c>
      <c r="L37" s="496"/>
      <c r="M37" s="496">
        <f>M36/K36-1</f>
        <v>4.1076316105473243E-2</v>
      </c>
      <c r="N37" s="496">
        <f>N36/M36-1</f>
        <v>2.2583974678964447E-2</v>
      </c>
      <c r="O37" s="496">
        <f>O36/N36-1</f>
        <v>-2.1536290615187914E-2</v>
      </c>
      <c r="P37" s="496">
        <f>P36/O36-1</f>
        <v>1.5709021738273155E-2</v>
      </c>
      <c r="Q37" s="496"/>
    </row>
    <row r="38" spans="1:17" ht="18" customHeight="1" x14ac:dyDescent="0.25">
      <c r="A38" s="4">
        <v>37</v>
      </c>
      <c r="B38" s="497"/>
      <c r="C38" s="497"/>
      <c r="D38" s="497"/>
      <c r="E38" s="497"/>
      <c r="F38" s="497"/>
      <c r="G38" s="498"/>
      <c r="H38" s="498"/>
      <c r="I38" s="498"/>
      <c r="J38" s="498"/>
      <c r="K38" s="498"/>
      <c r="L38" s="498"/>
      <c r="M38" s="498"/>
      <c r="N38" s="498"/>
      <c r="O38" s="498"/>
      <c r="P38" s="498"/>
      <c r="Q38" s="498"/>
    </row>
    <row r="39" spans="1:17" x14ac:dyDescent="0.25">
      <c r="A39" s="4">
        <v>38</v>
      </c>
    </row>
    <row r="40" spans="1:17" x14ac:dyDescent="0.25">
      <c r="A40" s="4">
        <v>39</v>
      </c>
    </row>
    <row r="41" spans="1:17" x14ac:dyDescent="0.25">
      <c r="A41" s="4">
        <v>40</v>
      </c>
      <c r="C41" s="492" t="s">
        <v>423</v>
      </c>
      <c r="D41" s="492" t="s">
        <v>424</v>
      </c>
      <c r="E41" s="492" t="s">
        <v>425</v>
      </c>
      <c r="F41" s="492" t="s">
        <v>426</v>
      </c>
      <c r="G41" s="492" t="s">
        <v>427</v>
      </c>
      <c r="H41" s="492" t="s">
        <v>428</v>
      </c>
      <c r="I41" s="492" t="s">
        <v>429</v>
      </c>
      <c r="J41" s="492" t="s">
        <v>430</v>
      </c>
    </row>
    <row r="42" spans="1:17" x14ac:dyDescent="0.25">
      <c r="A42" s="4">
        <v>41</v>
      </c>
      <c r="B42" s="503" t="s">
        <v>422</v>
      </c>
      <c r="C42" s="502">
        <f>((D14/Q8*365)/C14-1)</f>
        <v>9.3225566496075718E-3</v>
      </c>
      <c r="D42" s="493">
        <f>(((I14/D14)^(365/Q18))-1)</f>
        <v>0.83222029926172114</v>
      </c>
      <c r="E42" s="493" t="s">
        <v>517</v>
      </c>
      <c r="F42" s="493" t="s">
        <v>517</v>
      </c>
      <c r="G42" s="493" t="s">
        <v>517</v>
      </c>
      <c r="H42" s="493" t="s">
        <v>517</v>
      </c>
      <c r="I42" s="493">
        <f>(((J24/D14)^(365/Q16))-1)</f>
        <v>0.94101111415542471</v>
      </c>
      <c r="J42" s="493">
        <f>(((K24/D14)^(365/Q24))-1)</f>
        <v>0.59200707015848564</v>
      </c>
    </row>
    <row r="43" spans="1:17" x14ac:dyDescent="0.25">
      <c r="A43" s="4">
        <v>42</v>
      </c>
      <c r="B43" s="503" t="s">
        <v>516</v>
      </c>
      <c r="C43" s="493">
        <f>D14/C14-1</f>
        <v>-0.41376333695967993</v>
      </c>
      <c r="D43" s="493">
        <f>I14/D14-1</f>
        <v>0.82615113167743748</v>
      </c>
      <c r="E43" s="493">
        <f>N14/I14-1</f>
        <v>5.1880073590083509E-2</v>
      </c>
      <c r="F43" s="493">
        <f>G36/N14-1</f>
        <v>5.3441561556284434E-2</v>
      </c>
      <c r="G43" s="493">
        <f>L36/G36-1</f>
        <v>5.504816726828432E-2</v>
      </c>
      <c r="H43" s="493">
        <f>Q36/L36-1</f>
        <v>5.6698249695053216E-2</v>
      </c>
      <c r="I43" s="493">
        <f>N14/D14-1</f>
        <v>0.92089198677547723</v>
      </c>
      <c r="J43" s="493">
        <f>Q36/D14-1</f>
        <v>1.2559873959270145</v>
      </c>
    </row>
    <row r="44" spans="1:17" x14ac:dyDescent="0.25">
      <c r="C44" s="7" t="s">
        <v>518</v>
      </c>
    </row>
  </sheetData>
  <sheetProtection algorithmName="SHA-512" hashValue="0PUpn4x60mCikc/8B6VMRB9TljuUy88Up7MVCBTsKB/1t16oyGHHZ/NlgCrMI3nwtxIDZbtIOZuocpwBjPY1lw==" saltValue="lzNhJsNFt1vt/5ynztXdiA==" spinCount="100000" sheet="1" objects="1" scenarios="1"/>
  <phoneticPr fontId="0" type="noConversion"/>
  <printOptions horizontalCentered="1"/>
  <pageMargins left="0.25" right="0.25" top="1.5" bottom="1" header="1" footer="0.5"/>
  <pageSetup scale="47" orientation="landscape" horizontalDpi="300" r:id="rId1"/>
  <headerFooter alignWithMargins="0">
    <oddHeader>&amp;L&amp;"Arial,Bold"&amp;12State of &amp;C&amp;"Arial,Bold"&amp;12Appendix &amp;A&amp;R&amp;"Arial,Bold"&amp;12.</oddHeader>
    <oddFooter>&amp;L&amp;8'&amp;A'&amp;C&amp;8Page &amp;P of &amp;N&amp;R&amp;8&amp;F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E76"/>
  <sheetViews>
    <sheetView showGridLines="0" zoomScaleNormal="100" workbookViewId="0"/>
  </sheetViews>
  <sheetFormatPr defaultColWidth="9.1796875" defaultRowHeight="12.5" x14ac:dyDescent="0.25"/>
  <cols>
    <col min="1" max="1" width="9.1796875" style="18"/>
    <col min="2" max="2" width="39" style="22" customWidth="1"/>
    <col min="3" max="14" width="14.7265625" style="22" customWidth="1"/>
    <col min="15" max="15" width="9.54296875" style="22" customWidth="1"/>
    <col min="16" max="16384" width="9.1796875" style="22"/>
  </cols>
  <sheetData>
    <row r="1" spans="1:83" s="4" customFormat="1" ht="30" x14ac:dyDescent="0.25">
      <c r="A1" s="16" t="s">
        <v>0</v>
      </c>
      <c r="B1" s="4" t="s">
        <v>1</v>
      </c>
      <c r="C1" s="4" t="s">
        <v>2</v>
      </c>
      <c r="D1" s="4" t="s">
        <v>3</v>
      </c>
      <c r="H1" s="4" t="s">
        <v>4</v>
      </c>
      <c r="I1" s="4" t="s">
        <v>5</v>
      </c>
      <c r="J1" s="4" t="s">
        <v>6</v>
      </c>
      <c r="M1" s="4" t="s">
        <v>7</v>
      </c>
      <c r="N1" s="4" t="s">
        <v>8</v>
      </c>
      <c r="P1" s="17"/>
    </row>
    <row r="2" spans="1:83" ht="13" x14ac:dyDescent="0.3">
      <c r="A2" s="18">
        <v>2</v>
      </c>
      <c r="B2" s="19" t="s">
        <v>204</v>
      </c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  <c r="AO2" s="21"/>
      <c r="AP2" s="21"/>
      <c r="AQ2" s="21"/>
      <c r="AR2" s="21"/>
      <c r="AS2" s="21"/>
      <c r="AT2" s="21"/>
      <c r="AU2" s="21"/>
      <c r="AV2" s="21"/>
      <c r="AW2" s="21"/>
      <c r="AX2" s="21"/>
      <c r="AY2" s="21"/>
      <c r="AZ2" s="21"/>
      <c r="BA2" s="21"/>
      <c r="BB2" s="21"/>
      <c r="BC2" s="21"/>
      <c r="BD2" s="21"/>
      <c r="BE2" s="21"/>
      <c r="BF2" s="21"/>
      <c r="BG2" s="21"/>
      <c r="BH2" s="21"/>
      <c r="BI2" s="21"/>
      <c r="BJ2" s="21"/>
      <c r="BK2" s="21"/>
      <c r="BL2" s="21"/>
      <c r="BM2" s="21"/>
      <c r="BN2" s="21"/>
      <c r="BO2" s="21"/>
      <c r="BP2" s="21"/>
      <c r="BQ2" s="21"/>
      <c r="BR2" s="21"/>
      <c r="BS2" s="21"/>
      <c r="BT2" s="21"/>
      <c r="BU2" s="21"/>
      <c r="BV2" s="21"/>
      <c r="BW2" s="21"/>
      <c r="BX2" s="21"/>
      <c r="BY2" s="21"/>
      <c r="BZ2" s="21"/>
      <c r="CA2" s="21"/>
      <c r="CB2" s="21"/>
      <c r="CC2" s="21"/>
      <c r="CD2" s="21"/>
      <c r="CE2" s="21"/>
    </row>
    <row r="3" spans="1:83" x14ac:dyDescent="0.25">
      <c r="A3" s="18">
        <v>3</v>
      </c>
      <c r="B3"/>
      <c r="C3"/>
      <c r="D3"/>
      <c r="E3"/>
      <c r="F3"/>
      <c r="G3"/>
      <c r="H3" t="s">
        <v>400</v>
      </c>
      <c r="I3" t="str">
        <f>'D1. Member Months'!G4</f>
        <v>Minnesota</v>
      </c>
      <c r="J3" s="20"/>
      <c r="K3" s="20"/>
      <c r="L3" s="20"/>
      <c r="M3" s="20"/>
      <c r="N3" s="20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1"/>
      <c r="AS3" s="21"/>
      <c r="AT3" s="21"/>
      <c r="AU3" s="21"/>
      <c r="AV3" s="21"/>
      <c r="AW3" s="21"/>
      <c r="AX3" s="21"/>
      <c r="AY3" s="21"/>
      <c r="AZ3" s="21"/>
      <c r="BA3" s="21"/>
      <c r="BB3" s="21"/>
      <c r="BC3" s="21"/>
      <c r="BD3" s="21"/>
      <c r="BE3" s="21"/>
      <c r="BF3" s="21"/>
      <c r="BG3" s="21"/>
      <c r="BH3" s="21"/>
      <c r="BI3" s="21"/>
      <c r="BJ3" s="21"/>
      <c r="BK3" s="21"/>
      <c r="BL3" s="21"/>
      <c r="BM3" s="21"/>
      <c r="BN3" s="21"/>
      <c r="BO3" s="21"/>
      <c r="BP3" s="21"/>
      <c r="BQ3" s="21"/>
      <c r="BR3" s="21"/>
      <c r="BS3" s="21"/>
      <c r="BT3" s="21"/>
      <c r="BU3" s="21"/>
      <c r="BV3" s="21"/>
      <c r="BW3" s="21"/>
      <c r="BX3" s="21"/>
      <c r="BY3" s="21"/>
      <c r="BZ3" s="21"/>
      <c r="CA3" s="21"/>
      <c r="CB3" s="21"/>
      <c r="CC3" s="21"/>
      <c r="CD3" s="21"/>
      <c r="CE3" s="21"/>
    </row>
    <row r="4" spans="1:83" ht="13" x14ac:dyDescent="0.3">
      <c r="A4" s="18">
        <v>4</v>
      </c>
      <c r="B4" s="19" t="s">
        <v>236</v>
      </c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21"/>
      <c r="AS4" s="21"/>
      <c r="AT4" s="21"/>
      <c r="AU4" s="21"/>
      <c r="AV4" s="21"/>
      <c r="AW4" s="21"/>
      <c r="AX4" s="21"/>
      <c r="AY4" s="21"/>
      <c r="AZ4" s="21"/>
      <c r="BA4" s="21"/>
      <c r="BB4" s="21"/>
      <c r="BC4" s="21"/>
      <c r="BD4" s="21"/>
      <c r="BE4" s="21"/>
      <c r="BF4" s="21"/>
      <c r="BG4" s="21"/>
      <c r="BH4" s="21"/>
      <c r="BI4" s="21"/>
      <c r="BJ4" s="21"/>
      <c r="BK4" s="21"/>
      <c r="BL4" s="21"/>
      <c r="BM4" s="21"/>
      <c r="BN4" s="21"/>
      <c r="BO4" s="21"/>
      <c r="BP4" s="21"/>
      <c r="BQ4" s="21"/>
      <c r="BR4" s="21"/>
      <c r="BS4" s="21"/>
      <c r="BT4" s="21"/>
      <c r="BU4" s="21"/>
      <c r="BV4" s="21"/>
      <c r="BW4" s="21"/>
      <c r="BX4" s="21"/>
      <c r="BY4" s="21"/>
      <c r="BZ4" s="21"/>
      <c r="CA4" s="21"/>
      <c r="CB4" s="21"/>
      <c r="CC4" s="21"/>
      <c r="CD4" s="21"/>
      <c r="CE4" s="21"/>
    </row>
    <row r="5" spans="1:83" ht="13" x14ac:dyDescent="0.3">
      <c r="A5" s="18">
        <v>5</v>
      </c>
      <c r="B5" s="23" t="s">
        <v>190</v>
      </c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  <c r="AN5" s="21"/>
      <c r="AO5" s="21"/>
      <c r="AP5" s="21"/>
      <c r="AQ5" s="21"/>
      <c r="AR5" s="21"/>
      <c r="AS5" s="21"/>
      <c r="AT5" s="21"/>
      <c r="AU5" s="21"/>
      <c r="AV5" s="21"/>
      <c r="AW5" s="21"/>
      <c r="AX5" s="21"/>
      <c r="AY5" s="21"/>
      <c r="AZ5" s="21"/>
      <c r="BA5" s="21"/>
      <c r="BB5" s="21"/>
      <c r="BC5" s="21"/>
      <c r="BD5" s="21"/>
      <c r="BE5" s="21"/>
      <c r="BF5" s="21"/>
      <c r="BG5" s="21"/>
      <c r="BH5" s="21"/>
      <c r="BI5" s="21"/>
      <c r="BJ5" s="21"/>
      <c r="BK5" s="21"/>
      <c r="BL5" s="21"/>
      <c r="BM5" s="21"/>
      <c r="BN5" s="21"/>
      <c r="BO5" s="21"/>
      <c r="BP5" s="21"/>
      <c r="BQ5" s="21"/>
      <c r="BR5" s="21"/>
      <c r="BS5" s="21"/>
      <c r="BT5" s="21"/>
      <c r="BU5" s="21"/>
      <c r="BV5" s="21"/>
      <c r="BW5" s="21"/>
      <c r="BX5" s="21"/>
      <c r="BY5" s="21"/>
      <c r="BZ5" s="21"/>
      <c r="CA5" s="21"/>
      <c r="CB5" s="21"/>
      <c r="CC5" s="21"/>
      <c r="CD5" s="21"/>
      <c r="CE5" s="21"/>
    </row>
    <row r="6" spans="1:83" ht="13" x14ac:dyDescent="0.3">
      <c r="A6" s="18">
        <v>6</v>
      </c>
      <c r="B6" s="24" t="s">
        <v>191</v>
      </c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  <c r="AW6" s="21"/>
      <c r="AX6" s="21"/>
      <c r="AY6" s="21"/>
      <c r="AZ6" s="21"/>
      <c r="BA6" s="21"/>
      <c r="BB6" s="21"/>
      <c r="BC6" s="21"/>
      <c r="BD6" s="21"/>
      <c r="BE6" s="21"/>
      <c r="BF6" s="21"/>
      <c r="BG6" s="21"/>
      <c r="BH6" s="21"/>
      <c r="BI6" s="21"/>
      <c r="BJ6" s="21"/>
      <c r="BK6" s="21"/>
      <c r="BL6" s="21"/>
      <c r="BM6" s="21"/>
      <c r="BN6" s="21"/>
      <c r="BO6" s="21"/>
      <c r="BP6" s="21"/>
      <c r="BQ6" s="21"/>
      <c r="BR6" s="21"/>
      <c r="BS6" s="21"/>
      <c r="BT6" s="21"/>
      <c r="BU6" s="21"/>
      <c r="BV6" s="21"/>
      <c r="BW6" s="21"/>
      <c r="BX6" s="21"/>
      <c r="BY6" s="21"/>
      <c r="BZ6" s="21"/>
      <c r="CA6" s="21"/>
      <c r="CB6" s="21"/>
      <c r="CC6" s="21"/>
      <c r="CD6" s="21"/>
      <c r="CE6" s="21"/>
    </row>
    <row r="7" spans="1:83" ht="18" customHeight="1" x14ac:dyDescent="0.25">
      <c r="A7" s="18">
        <v>7</v>
      </c>
      <c r="B7" s="25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7"/>
      <c r="P7" s="27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1"/>
      <c r="AL7" s="21"/>
      <c r="AM7" s="21"/>
      <c r="AN7" s="21"/>
      <c r="AO7" s="21"/>
      <c r="AP7" s="21"/>
      <c r="AQ7" s="21"/>
      <c r="AR7" s="21"/>
      <c r="AS7" s="21"/>
      <c r="AT7" s="21"/>
      <c r="AU7" s="21"/>
      <c r="AV7" s="21"/>
      <c r="AW7" s="21"/>
      <c r="AX7" s="21"/>
      <c r="AY7" s="21"/>
      <c r="AZ7" s="21"/>
      <c r="BA7" s="21"/>
      <c r="BB7" s="21"/>
      <c r="BC7" s="21"/>
      <c r="BD7" s="21"/>
      <c r="BE7" s="21"/>
      <c r="BF7" s="21"/>
      <c r="BG7" s="21"/>
      <c r="BH7" s="21"/>
      <c r="BI7" s="21"/>
      <c r="BJ7" s="21"/>
      <c r="BK7" s="21"/>
      <c r="BL7" s="21"/>
      <c r="BM7" s="21"/>
      <c r="BN7" s="21"/>
      <c r="BO7" s="21"/>
      <c r="BP7" s="21"/>
      <c r="BQ7" s="21"/>
      <c r="BR7" s="21"/>
      <c r="BS7" s="21"/>
      <c r="BT7" s="21"/>
      <c r="BU7" s="21"/>
      <c r="BV7" s="21"/>
      <c r="BW7" s="21"/>
      <c r="BX7" s="21"/>
      <c r="BY7" s="21"/>
      <c r="BZ7" s="21"/>
      <c r="CA7" s="21"/>
      <c r="CB7" s="21"/>
      <c r="CC7" s="21"/>
      <c r="CD7" s="21"/>
      <c r="CE7" s="21"/>
    </row>
    <row r="8" spans="1:83" ht="13" x14ac:dyDescent="0.3">
      <c r="A8" s="18">
        <v>8</v>
      </c>
      <c r="B8" s="262" t="s">
        <v>23</v>
      </c>
      <c r="C8" s="263"/>
      <c r="D8" s="263"/>
      <c r="E8" s="263"/>
      <c r="F8" s="263"/>
      <c r="G8" s="263"/>
      <c r="H8" s="264"/>
      <c r="I8" s="264"/>
      <c r="J8" s="264"/>
      <c r="K8" s="28"/>
      <c r="L8" s="28"/>
      <c r="M8" s="264" t="s">
        <v>163</v>
      </c>
      <c r="N8" s="402" t="s">
        <v>163</v>
      </c>
      <c r="O8" s="29"/>
      <c r="P8" s="29"/>
    </row>
    <row r="9" spans="1:83" x14ac:dyDescent="0.25">
      <c r="A9" s="18">
        <v>9</v>
      </c>
      <c r="B9" s="544" t="s">
        <v>25</v>
      </c>
      <c r="C9" s="265" t="s">
        <v>26</v>
      </c>
      <c r="D9" s="265" t="s">
        <v>27</v>
      </c>
      <c r="E9" s="265" t="s">
        <v>550</v>
      </c>
      <c r="F9" s="265" t="s">
        <v>552</v>
      </c>
      <c r="G9" s="265" t="s">
        <v>551</v>
      </c>
      <c r="H9" s="265" t="s">
        <v>28</v>
      </c>
      <c r="I9" s="266" t="s">
        <v>29</v>
      </c>
      <c r="J9" s="265" t="s">
        <v>30</v>
      </c>
      <c r="K9" s="265" t="s">
        <v>31</v>
      </c>
      <c r="L9" s="265" t="s">
        <v>31</v>
      </c>
      <c r="M9" s="265" t="s">
        <v>326</v>
      </c>
      <c r="N9" s="265" t="s">
        <v>326</v>
      </c>
      <c r="O9" s="29"/>
      <c r="P9" s="29"/>
    </row>
    <row r="10" spans="1:83" x14ac:dyDescent="0.25">
      <c r="A10" s="18">
        <v>10</v>
      </c>
      <c r="B10" s="542"/>
      <c r="C10" s="267" t="s">
        <v>32</v>
      </c>
      <c r="D10" s="267" t="s">
        <v>33</v>
      </c>
      <c r="E10" s="267"/>
      <c r="F10" s="267"/>
      <c r="G10" s="267"/>
      <c r="H10" s="267" t="s">
        <v>34</v>
      </c>
      <c r="I10" s="268" t="s">
        <v>35</v>
      </c>
      <c r="J10" s="267" t="s">
        <v>36</v>
      </c>
      <c r="K10" s="267" t="s">
        <v>34</v>
      </c>
      <c r="L10" s="267" t="s">
        <v>36</v>
      </c>
      <c r="M10" s="267" t="s">
        <v>34</v>
      </c>
      <c r="N10" s="267" t="s">
        <v>36</v>
      </c>
      <c r="O10" s="30"/>
      <c r="P10" s="30"/>
    </row>
    <row r="11" spans="1:83" x14ac:dyDescent="0.25">
      <c r="A11" s="18">
        <v>11</v>
      </c>
      <c r="B11" s="545"/>
      <c r="C11" s="269" t="s">
        <v>33</v>
      </c>
      <c r="D11" s="269"/>
      <c r="E11" s="269"/>
      <c r="F11" s="269"/>
      <c r="G11" s="269"/>
      <c r="H11" s="269" t="s">
        <v>37</v>
      </c>
      <c r="I11" s="269" t="s">
        <v>38</v>
      </c>
      <c r="J11" s="269" t="s">
        <v>37</v>
      </c>
      <c r="K11" s="269" t="s">
        <v>37</v>
      </c>
      <c r="L11" s="269" t="s">
        <v>37</v>
      </c>
      <c r="M11" s="269" t="s">
        <v>37</v>
      </c>
      <c r="N11" s="269" t="s">
        <v>37</v>
      </c>
      <c r="O11" s="30"/>
      <c r="P11" s="30"/>
    </row>
    <row r="12" spans="1:83" x14ac:dyDescent="0.25">
      <c r="A12" s="18">
        <v>12</v>
      </c>
      <c r="B12" s="407" t="s">
        <v>39</v>
      </c>
      <c r="C12" s="396"/>
      <c r="D12" s="396"/>
      <c r="E12" s="396"/>
      <c r="F12" s="396"/>
      <c r="G12" s="396"/>
      <c r="H12" s="396"/>
      <c r="I12" s="396"/>
      <c r="J12" s="396"/>
      <c r="K12" s="397"/>
      <c r="L12" s="397"/>
      <c r="M12" s="397"/>
      <c r="N12" s="398"/>
      <c r="O12" s="18"/>
      <c r="P12" s="31"/>
    </row>
    <row r="13" spans="1:83" x14ac:dyDescent="0.25">
      <c r="A13" s="18">
        <v>13</v>
      </c>
      <c r="B13" s="408" t="s">
        <v>41</v>
      </c>
      <c r="C13" s="399"/>
      <c r="D13" s="399"/>
      <c r="E13" s="399"/>
      <c r="F13" s="399"/>
      <c r="G13" s="399"/>
      <c r="H13" s="399"/>
      <c r="I13" s="399"/>
      <c r="J13" s="399"/>
      <c r="K13" s="400"/>
      <c r="L13" s="400"/>
      <c r="M13" s="400"/>
      <c r="N13" s="401"/>
      <c r="O13" s="31"/>
      <c r="P13" s="31"/>
    </row>
    <row r="14" spans="1:83" x14ac:dyDescent="0.25">
      <c r="A14" s="18">
        <v>14</v>
      </c>
      <c r="B14" s="408" t="s">
        <v>42</v>
      </c>
      <c r="C14" s="399"/>
      <c r="D14" s="399"/>
      <c r="E14" s="399"/>
      <c r="F14" s="399"/>
      <c r="G14" s="399"/>
      <c r="H14" s="399"/>
      <c r="I14" s="399"/>
      <c r="J14" s="399"/>
      <c r="K14" s="400"/>
      <c r="L14" s="400"/>
      <c r="M14" s="400"/>
      <c r="N14" s="401"/>
      <c r="O14" s="18"/>
      <c r="P14" s="31"/>
    </row>
    <row r="15" spans="1:83" x14ac:dyDescent="0.25">
      <c r="A15" s="18">
        <v>15</v>
      </c>
      <c r="B15" s="408" t="s">
        <v>43</v>
      </c>
      <c r="C15" s="399"/>
      <c r="D15" s="399"/>
      <c r="E15" s="399"/>
      <c r="F15" s="399"/>
      <c r="G15" s="399"/>
      <c r="H15" s="399"/>
      <c r="I15" s="399"/>
      <c r="J15" s="399"/>
      <c r="K15" s="400"/>
      <c r="L15" s="400"/>
      <c r="M15" s="400"/>
      <c r="N15" s="401"/>
      <c r="O15" s="18"/>
      <c r="P15" s="31"/>
    </row>
    <row r="16" spans="1:83" x14ac:dyDescent="0.25">
      <c r="A16" s="18">
        <v>16</v>
      </c>
      <c r="B16" s="408" t="s">
        <v>44</v>
      </c>
      <c r="C16" s="399"/>
      <c r="D16" s="399"/>
      <c r="E16" s="399"/>
      <c r="F16" s="399"/>
      <c r="G16" s="399"/>
      <c r="H16" s="399"/>
      <c r="I16" s="399"/>
      <c r="J16" s="399"/>
      <c r="K16" s="400"/>
      <c r="L16" s="400"/>
      <c r="M16" s="400"/>
      <c r="N16" s="401"/>
      <c r="O16" s="18"/>
      <c r="P16" s="31"/>
    </row>
    <row r="17" spans="1:16" x14ac:dyDescent="0.25">
      <c r="A17" s="18">
        <v>17</v>
      </c>
      <c r="B17" s="408" t="s">
        <v>45</v>
      </c>
      <c r="C17" s="399"/>
      <c r="D17" s="399"/>
      <c r="E17" s="399"/>
      <c r="F17" s="399"/>
      <c r="G17" s="399"/>
      <c r="H17" s="399"/>
      <c r="I17" s="399"/>
      <c r="J17" s="399"/>
      <c r="K17" s="400"/>
      <c r="L17" s="400"/>
      <c r="M17" s="400"/>
      <c r="N17" s="401"/>
      <c r="O17" s="18"/>
      <c r="P17" s="29"/>
    </row>
    <row r="18" spans="1:16" x14ac:dyDescent="0.25">
      <c r="A18" s="18">
        <v>18</v>
      </c>
      <c r="B18" s="408" t="s">
        <v>46</v>
      </c>
      <c r="C18" s="399"/>
      <c r="D18" s="399"/>
      <c r="E18" s="399"/>
      <c r="F18" s="399"/>
      <c r="G18" s="399"/>
      <c r="H18" s="399"/>
      <c r="I18" s="399"/>
      <c r="J18" s="399"/>
      <c r="K18" s="400"/>
      <c r="L18" s="400"/>
      <c r="M18" s="400"/>
      <c r="N18" s="401"/>
      <c r="O18" s="18"/>
      <c r="P18" s="29"/>
    </row>
    <row r="19" spans="1:16" x14ac:dyDescent="0.25">
      <c r="A19" s="18">
        <v>19</v>
      </c>
      <c r="B19" s="408" t="s">
        <v>47</v>
      </c>
      <c r="C19" s="399"/>
      <c r="D19" s="399"/>
      <c r="E19" s="399"/>
      <c r="F19" s="399"/>
      <c r="G19" s="399"/>
      <c r="H19" s="399"/>
      <c r="I19" s="399"/>
      <c r="J19" s="399"/>
      <c r="K19" s="400"/>
      <c r="L19" s="400"/>
      <c r="M19" s="400"/>
      <c r="N19" s="401"/>
      <c r="O19" s="18"/>
      <c r="P19" s="29"/>
    </row>
    <row r="20" spans="1:16" x14ac:dyDescent="0.25">
      <c r="A20" s="18">
        <v>20</v>
      </c>
      <c r="B20" s="408" t="s">
        <v>48</v>
      </c>
      <c r="C20" s="399"/>
      <c r="D20" s="399"/>
      <c r="E20" s="399"/>
      <c r="F20" s="399"/>
      <c r="G20" s="399"/>
      <c r="H20" s="399"/>
      <c r="I20" s="399"/>
      <c r="J20" s="399"/>
      <c r="K20" s="400"/>
      <c r="L20" s="400"/>
      <c r="M20" s="400"/>
      <c r="N20" s="401"/>
      <c r="O20" s="18"/>
      <c r="P20" s="29"/>
    </row>
    <row r="21" spans="1:16" x14ac:dyDescent="0.25">
      <c r="A21" s="18">
        <v>21</v>
      </c>
      <c r="B21" s="408" t="s">
        <v>49</v>
      </c>
      <c r="C21" s="399"/>
      <c r="D21" s="399"/>
      <c r="E21" s="399"/>
      <c r="F21" s="399"/>
      <c r="G21" s="399"/>
      <c r="H21" s="399"/>
      <c r="I21" s="399"/>
      <c r="J21" s="399"/>
      <c r="K21" s="400"/>
      <c r="L21" s="400"/>
      <c r="M21" s="400"/>
      <c r="N21" s="401"/>
      <c r="O21" s="31"/>
      <c r="P21" s="29"/>
    </row>
    <row r="22" spans="1:16" x14ac:dyDescent="0.25">
      <c r="A22" s="18">
        <v>22</v>
      </c>
      <c r="B22" s="408" t="s">
        <v>50</v>
      </c>
      <c r="C22" s="399"/>
      <c r="D22" s="399"/>
      <c r="E22" s="399"/>
      <c r="F22" s="399"/>
      <c r="G22" s="399"/>
      <c r="H22" s="399"/>
      <c r="I22" s="399"/>
      <c r="J22" s="399"/>
      <c r="K22" s="400"/>
      <c r="L22" s="400"/>
      <c r="M22" s="400"/>
      <c r="N22" s="401"/>
      <c r="O22" s="18"/>
      <c r="P22" s="29"/>
    </row>
    <row r="23" spans="1:16" x14ac:dyDescent="0.25">
      <c r="A23" s="18">
        <v>23</v>
      </c>
      <c r="B23" s="408" t="s">
        <v>51</v>
      </c>
      <c r="C23" s="399"/>
      <c r="D23" s="399"/>
      <c r="E23" s="399"/>
      <c r="F23" s="399"/>
      <c r="G23" s="399"/>
      <c r="H23" s="399"/>
      <c r="I23" s="399"/>
      <c r="J23" s="399"/>
      <c r="K23" s="400"/>
      <c r="L23" s="400"/>
      <c r="M23" s="400"/>
      <c r="N23" s="401"/>
      <c r="O23" s="18"/>
      <c r="P23" s="29"/>
    </row>
    <row r="24" spans="1:16" x14ac:dyDescent="0.25">
      <c r="A24" s="18">
        <v>24</v>
      </c>
      <c r="B24" s="408" t="s">
        <v>52</v>
      </c>
      <c r="C24" s="399"/>
      <c r="D24" s="399"/>
      <c r="E24" s="399"/>
      <c r="F24" s="399"/>
      <c r="G24" s="399"/>
      <c r="H24" s="399"/>
      <c r="I24" s="399"/>
      <c r="J24" s="399"/>
      <c r="K24" s="400"/>
      <c r="L24" s="400"/>
      <c r="M24" s="400"/>
      <c r="N24" s="401"/>
      <c r="O24" s="18"/>
      <c r="P24" s="29"/>
    </row>
    <row r="25" spans="1:16" x14ac:dyDescent="0.25">
      <c r="A25" s="18">
        <v>25</v>
      </c>
      <c r="B25" s="408" t="s">
        <v>53</v>
      </c>
      <c r="C25" s="399"/>
      <c r="D25" s="399"/>
      <c r="E25" s="399"/>
      <c r="F25" s="399"/>
      <c r="G25" s="399"/>
      <c r="H25" s="399"/>
      <c r="I25" s="399"/>
      <c r="J25" s="399"/>
      <c r="K25" s="400"/>
      <c r="L25" s="400"/>
      <c r="M25" s="400"/>
      <c r="N25" s="401"/>
      <c r="O25" s="18"/>
      <c r="P25" s="30"/>
    </row>
    <row r="26" spans="1:16" x14ac:dyDescent="0.25">
      <c r="A26" s="18">
        <v>26</v>
      </c>
      <c r="B26" s="408" t="s">
        <v>54</v>
      </c>
      <c r="C26" s="399"/>
      <c r="D26" s="399"/>
      <c r="E26" s="399"/>
      <c r="F26" s="399"/>
      <c r="G26" s="399"/>
      <c r="H26" s="399"/>
      <c r="I26" s="399"/>
      <c r="J26" s="399"/>
      <c r="K26" s="400"/>
      <c r="L26" s="400"/>
      <c r="M26" s="400"/>
      <c r="N26" s="401"/>
      <c r="O26" s="18"/>
      <c r="P26" s="30"/>
    </row>
    <row r="27" spans="1:16" x14ac:dyDescent="0.25">
      <c r="A27" s="18">
        <v>27</v>
      </c>
      <c r="B27" s="408" t="s">
        <v>55</v>
      </c>
      <c r="C27" s="399"/>
      <c r="D27" s="399"/>
      <c r="E27" s="399"/>
      <c r="F27" s="399"/>
      <c r="G27" s="399"/>
      <c r="H27" s="399"/>
      <c r="I27" s="399"/>
      <c r="J27" s="399"/>
      <c r="K27" s="400"/>
      <c r="L27" s="400"/>
      <c r="M27" s="400"/>
      <c r="N27" s="401"/>
      <c r="O27" s="18"/>
      <c r="P27" s="29"/>
    </row>
    <row r="28" spans="1:16" x14ac:dyDescent="0.25">
      <c r="A28" s="18">
        <v>28</v>
      </c>
      <c r="B28" s="408" t="s">
        <v>378</v>
      </c>
      <c r="C28" s="399"/>
      <c r="D28" s="399"/>
      <c r="E28" s="399"/>
      <c r="F28" s="399"/>
      <c r="G28" s="399"/>
      <c r="H28" s="399"/>
      <c r="I28" s="399"/>
      <c r="J28" s="399"/>
      <c r="K28" s="400"/>
      <c r="L28" s="400"/>
      <c r="M28" s="400"/>
      <c r="N28" s="401"/>
      <c r="O28" s="18"/>
      <c r="P28" s="29"/>
    </row>
    <row r="29" spans="1:16" x14ac:dyDescent="0.25">
      <c r="A29" s="18">
        <v>29</v>
      </c>
      <c r="B29" s="408" t="s">
        <v>56</v>
      </c>
      <c r="C29" s="399"/>
      <c r="D29" s="399"/>
      <c r="E29" s="399"/>
      <c r="F29" s="399"/>
      <c r="G29" s="399"/>
      <c r="H29" s="399"/>
      <c r="I29" s="399"/>
      <c r="J29" s="399"/>
      <c r="K29" s="400"/>
      <c r="L29" s="400"/>
      <c r="M29" s="400"/>
      <c r="N29" s="401"/>
      <c r="O29" s="18"/>
      <c r="P29" s="29"/>
    </row>
    <row r="30" spans="1:16" x14ac:dyDescent="0.25">
      <c r="A30" s="18">
        <v>30</v>
      </c>
      <c r="B30" s="408" t="s">
        <v>57</v>
      </c>
      <c r="C30" s="399"/>
      <c r="D30" s="399"/>
      <c r="E30" s="399"/>
      <c r="F30" s="399"/>
      <c r="G30" s="399"/>
      <c r="H30" s="399"/>
      <c r="I30" s="399"/>
      <c r="J30" s="399"/>
      <c r="K30" s="400"/>
      <c r="L30" s="400"/>
      <c r="M30" s="400"/>
      <c r="N30" s="401"/>
      <c r="O30" s="31"/>
      <c r="P30" s="29"/>
    </row>
    <row r="31" spans="1:16" x14ac:dyDescent="0.25">
      <c r="A31" s="18">
        <v>31</v>
      </c>
      <c r="B31" s="408" t="s">
        <v>58</v>
      </c>
      <c r="C31" s="399"/>
      <c r="D31" s="399"/>
      <c r="E31" s="399"/>
      <c r="F31" s="399"/>
      <c r="G31" s="399"/>
      <c r="H31" s="399"/>
      <c r="I31" s="399"/>
      <c r="J31" s="399"/>
      <c r="K31" s="400"/>
      <c r="L31" s="400"/>
      <c r="M31" s="400"/>
      <c r="N31" s="401"/>
      <c r="O31" s="31"/>
      <c r="P31" s="29"/>
    </row>
    <row r="32" spans="1:16" x14ac:dyDescent="0.25">
      <c r="A32" s="18">
        <v>32</v>
      </c>
      <c r="B32" s="408" t="s">
        <v>59</v>
      </c>
      <c r="C32" s="399"/>
      <c r="D32" s="399"/>
      <c r="E32" s="399"/>
      <c r="F32" s="399"/>
      <c r="G32" s="399"/>
      <c r="H32" s="399"/>
      <c r="I32" s="399"/>
      <c r="J32" s="399"/>
      <c r="K32" s="400"/>
      <c r="L32" s="400"/>
      <c r="M32" s="400"/>
      <c r="N32" s="401"/>
      <c r="O32" s="31"/>
      <c r="P32" s="29"/>
    </row>
    <row r="33" spans="1:16" x14ac:dyDescent="0.25">
      <c r="A33" s="18">
        <v>33</v>
      </c>
      <c r="B33" s="408" t="s">
        <v>60</v>
      </c>
      <c r="C33" s="399"/>
      <c r="D33" s="399"/>
      <c r="E33" s="399"/>
      <c r="F33" s="399"/>
      <c r="G33" s="399"/>
      <c r="H33" s="399"/>
      <c r="I33" s="399"/>
      <c r="J33" s="399"/>
      <c r="K33" s="400"/>
      <c r="L33" s="400"/>
      <c r="M33" s="400"/>
      <c r="N33" s="401"/>
      <c r="O33" s="18"/>
      <c r="P33" s="29"/>
    </row>
    <row r="34" spans="1:16" x14ac:dyDescent="0.25">
      <c r="A34" s="18">
        <v>34</v>
      </c>
      <c r="B34" s="408" t="s">
        <v>61</v>
      </c>
      <c r="C34" s="399"/>
      <c r="D34" s="399"/>
      <c r="E34" s="399"/>
      <c r="F34" s="399"/>
      <c r="G34" s="399"/>
      <c r="H34" s="399"/>
      <c r="I34" s="399"/>
      <c r="J34" s="399"/>
      <c r="K34" s="400"/>
      <c r="L34" s="400"/>
      <c r="M34" s="400"/>
      <c r="N34" s="401"/>
      <c r="O34" s="18"/>
      <c r="P34" s="29"/>
    </row>
    <row r="35" spans="1:16" x14ac:dyDescent="0.25">
      <c r="A35" s="18">
        <v>35</v>
      </c>
      <c r="B35" s="408" t="s">
        <v>62</v>
      </c>
      <c r="C35" s="399"/>
      <c r="D35" s="399"/>
      <c r="E35" s="399"/>
      <c r="F35" s="399"/>
      <c r="G35" s="399"/>
      <c r="H35" s="399"/>
      <c r="I35" s="399"/>
      <c r="J35" s="399"/>
      <c r="K35" s="400"/>
      <c r="L35" s="400"/>
      <c r="M35" s="400"/>
      <c r="N35" s="401"/>
      <c r="O35" s="18"/>
      <c r="P35" s="29"/>
    </row>
    <row r="36" spans="1:16" x14ac:dyDescent="0.25">
      <c r="A36" s="18">
        <v>36</v>
      </c>
      <c r="B36" s="408" t="s">
        <v>63</v>
      </c>
      <c r="C36" s="399"/>
      <c r="D36" s="399"/>
      <c r="E36" s="399"/>
      <c r="F36" s="399"/>
      <c r="G36" s="399"/>
      <c r="H36" s="399"/>
      <c r="I36" s="399"/>
      <c r="J36" s="399"/>
      <c r="K36" s="400"/>
      <c r="L36" s="400"/>
      <c r="M36" s="400"/>
      <c r="N36" s="401"/>
      <c r="O36" s="18"/>
      <c r="P36" s="29"/>
    </row>
    <row r="37" spans="1:16" x14ac:dyDescent="0.25">
      <c r="A37" s="18">
        <v>37</v>
      </c>
      <c r="B37" s="408" t="s">
        <v>64</v>
      </c>
      <c r="C37" s="399"/>
      <c r="D37" s="399"/>
      <c r="E37" s="399"/>
      <c r="F37" s="399"/>
      <c r="G37" s="399"/>
      <c r="H37" s="399"/>
      <c r="I37" s="399"/>
      <c r="J37" s="399"/>
      <c r="K37" s="400"/>
      <c r="L37" s="400"/>
      <c r="M37" s="400"/>
      <c r="N37" s="401"/>
      <c r="O37" s="18"/>
      <c r="P37" s="31"/>
    </row>
    <row r="38" spans="1:16" x14ac:dyDescent="0.25">
      <c r="A38" s="18">
        <v>38</v>
      </c>
      <c r="B38" s="408" t="s">
        <v>65</v>
      </c>
      <c r="C38" s="399"/>
      <c r="D38" s="399"/>
      <c r="E38" s="399"/>
      <c r="F38" s="399"/>
      <c r="G38" s="399"/>
      <c r="H38" s="399"/>
      <c r="I38" s="399"/>
      <c r="J38" s="399"/>
      <c r="K38" s="400"/>
      <c r="L38" s="400"/>
      <c r="M38" s="400"/>
      <c r="N38" s="401"/>
      <c r="O38" s="18"/>
      <c r="P38" s="31"/>
    </row>
    <row r="39" spans="1:16" x14ac:dyDescent="0.25">
      <c r="A39" s="18">
        <v>39</v>
      </c>
      <c r="B39" s="408" t="s">
        <v>66</v>
      </c>
      <c r="C39" s="399"/>
      <c r="D39" s="399"/>
      <c r="E39" s="399"/>
      <c r="F39" s="399"/>
      <c r="G39" s="399"/>
      <c r="H39" s="399"/>
      <c r="I39" s="399"/>
      <c r="J39" s="399"/>
      <c r="K39" s="400"/>
      <c r="L39" s="400"/>
      <c r="M39" s="400"/>
      <c r="N39" s="401"/>
      <c r="O39" s="18"/>
      <c r="P39" s="29"/>
    </row>
    <row r="40" spans="1:16" x14ac:dyDescent="0.25">
      <c r="A40" s="18">
        <v>40</v>
      </c>
      <c r="B40" s="408" t="s">
        <v>67</v>
      </c>
      <c r="C40" s="399"/>
      <c r="D40" s="399"/>
      <c r="E40" s="399"/>
      <c r="F40" s="399"/>
      <c r="G40" s="399"/>
      <c r="H40" s="399"/>
      <c r="I40" s="399"/>
      <c r="J40" s="399"/>
      <c r="K40" s="400"/>
      <c r="L40" s="400"/>
      <c r="M40" s="400"/>
      <c r="N40" s="401"/>
      <c r="O40" s="18"/>
      <c r="P40" s="29"/>
    </row>
    <row r="41" spans="1:16" x14ac:dyDescent="0.25">
      <c r="A41" s="18">
        <v>41</v>
      </c>
      <c r="B41" s="408" t="s">
        <v>220</v>
      </c>
      <c r="C41" s="399"/>
      <c r="D41" s="399"/>
      <c r="E41" s="399"/>
      <c r="F41" s="399"/>
      <c r="G41" s="399"/>
      <c r="H41" s="399"/>
      <c r="I41" s="399"/>
      <c r="J41" s="399"/>
      <c r="K41" s="400"/>
      <c r="L41" s="400"/>
      <c r="M41" s="400"/>
      <c r="N41" s="401"/>
      <c r="O41" s="18"/>
      <c r="P41" s="29"/>
    </row>
    <row r="42" spans="1:16" x14ac:dyDescent="0.25">
      <c r="A42" s="18">
        <v>42</v>
      </c>
      <c r="B42" s="408" t="s">
        <v>547</v>
      </c>
      <c r="C42" s="399"/>
      <c r="D42" s="399"/>
      <c r="E42" s="399"/>
      <c r="F42" s="399"/>
      <c r="G42" s="399"/>
      <c r="H42" s="399"/>
      <c r="I42" s="399"/>
      <c r="J42" s="399"/>
      <c r="K42" s="400"/>
      <c r="L42" s="400"/>
      <c r="M42" s="400"/>
      <c r="N42" s="401"/>
      <c r="O42" s="18"/>
      <c r="P42" s="31"/>
    </row>
    <row r="43" spans="1:16" x14ac:dyDescent="0.25">
      <c r="A43" s="18">
        <v>43</v>
      </c>
      <c r="B43" s="541" t="s">
        <v>553</v>
      </c>
      <c r="C43" s="399"/>
      <c r="D43" s="399"/>
      <c r="E43" s="399"/>
      <c r="F43" s="399"/>
      <c r="G43" s="399"/>
      <c r="H43" s="399"/>
      <c r="I43" s="399"/>
      <c r="J43" s="399"/>
      <c r="K43" s="400"/>
      <c r="L43" s="400"/>
      <c r="M43" s="400"/>
      <c r="N43" s="401"/>
      <c r="O43" s="18"/>
      <c r="P43" s="31"/>
    </row>
    <row r="44" spans="1:16" x14ac:dyDescent="0.25">
      <c r="A44" s="18">
        <v>44</v>
      </c>
      <c r="B44" s="541" t="s">
        <v>554</v>
      </c>
      <c r="C44" s="399"/>
      <c r="D44" s="399"/>
      <c r="E44" s="399"/>
      <c r="F44" s="399"/>
      <c r="G44" s="399"/>
      <c r="H44" s="399"/>
      <c r="I44" s="399"/>
      <c r="J44" s="399"/>
      <c r="K44" s="400"/>
      <c r="L44" s="400"/>
      <c r="M44" s="400"/>
      <c r="N44" s="401"/>
      <c r="O44" s="18"/>
      <c r="P44" s="31"/>
    </row>
    <row r="45" spans="1:16" x14ac:dyDescent="0.25">
      <c r="A45" s="18">
        <v>45</v>
      </c>
      <c r="B45" s="541" t="s">
        <v>555</v>
      </c>
      <c r="C45" s="399"/>
      <c r="D45" s="399"/>
      <c r="E45" s="399"/>
      <c r="F45" s="399"/>
      <c r="G45" s="399"/>
      <c r="H45" s="399"/>
      <c r="I45" s="399"/>
      <c r="J45" s="399"/>
      <c r="K45" s="400"/>
      <c r="L45" s="400"/>
      <c r="M45" s="400"/>
      <c r="N45" s="401"/>
      <c r="O45" s="18"/>
      <c r="P45" s="31"/>
    </row>
    <row r="46" spans="1:16" x14ac:dyDescent="0.25">
      <c r="A46" s="18">
        <v>46</v>
      </c>
      <c r="B46" s="541" t="s">
        <v>556</v>
      </c>
      <c r="C46" s="399"/>
      <c r="D46" s="399"/>
      <c r="E46" s="399"/>
      <c r="F46" s="399"/>
      <c r="G46" s="399"/>
      <c r="H46" s="399"/>
      <c r="I46" s="399"/>
      <c r="J46" s="399"/>
      <c r="K46" s="400"/>
      <c r="L46" s="400"/>
      <c r="M46" s="400"/>
      <c r="N46" s="401"/>
      <c r="O46" s="18"/>
      <c r="P46" s="31"/>
    </row>
    <row r="47" spans="1:16" x14ac:dyDescent="0.25"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31"/>
    </row>
    <row r="48" spans="1:16" x14ac:dyDescent="0.25">
      <c r="B48" s="32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31"/>
    </row>
    <row r="49" spans="1:16" x14ac:dyDescent="0.25">
      <c r="B49" s="403" t="s">
        <v>331</v>
      </c>
      <c r="C49" s="404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31"/>
    </row>
    <row r="50" spans="1:16" x14ac:dyDescent="0.25">
      <c r="B50" s="413" t="s">
        <v>333</v>
      </c>
      <c r="C50" s="31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P50" s="31"/>
    </row>
    <row r="51" spans="1:16" x14ac:dyDescent="0.25">
      <c r="B51" s="31"/>
      <c r="C51" s="31"/>
      <c r="D51" s="31"/>
      <c r="E51" s="31"/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31"/>
    </row>
    <row r="52" spans="1:16" x14ac:dyDescent="0.25">
      <c r="B52" s="31"/>
      <c r="C52" s="31"/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1"/>
    </row>
    <row r="53" spans="1:16" x14ac:dyDescent="0.25">
      <c r="B53" s="31"/>
      <c r="C53" s="31"/>
      <c r="D53" s="31"/>
      <c r="E53" s="31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31"/>
    </row>
    <row r="54" spans="1:16" x14ac:dyDescent="0.25">
      <c r="A54" s="33"/>
      <c r="B54" s="31"/>
    </row>
    <row r="55" spans="1:16" x14ac:dyDescent="0.25">
      <c r="A55" s="33"/>
      <c r="B55" s="31"/>
    </row>
    <row r="56" spans="1:16" x14ac:dyDescent="0.25">
      <c r="A56" s="33"/>
      <c r="B56" s="31"/>
    </row>
    <row r="57" spans="1:16" x14ac:dyDescent="0.25">
      <c r="A57" s="33"/>
    </row>
    <row r="58" spans="1:16" x14ac:dyDescent="0.25">
      <c r="A58" s="33"/>
    </row>
    <row r="59" spans="1:16" x14ac:dyDescent="0.25">
      <c r="A59" s="33"/>
    </row>
    <row r="60" spans="1:16" x14ac:dyDescent="0.25">
      <c r="A60" s="33"/>
    </row>
    <row r="61" spans="1:16" x14ac:dyDescent="0.25">
      <c r="A61" s="33"/>
    </row>
    <row r="62" spans="1:16" x14ac:dyDescent="0.25">
      <c r="A62" s="33"/>
    </row>
    <row r="63" spans="1:16" x14ac:dyDescent="0.25">
      <c r="A63" s="33"/>
    </row>
    <row r="64" spans="1:16" x14ac:dyDescent="0.25">
      <c r="A64" s="33"/>
    </row>
    <row r="67" spans="1:1" x14ac:dyDescent="0.25">
      <c r="A67" s="33"/>
    </row>
    <row r="68" spans="1:1" x14ac:dyDescent="0.25">
      <c r="A68" s="33"/>
    </row>
    <row r="69" spans="1:1" x14ac:dyDescent="0.25">
      <c r="A69" s="33"/>
    </row>
    <row r="70" spans="1:1" x14ac:dyDescent="0.25">
      <c r="A70" s="33"/>
    </row>
    <row r="71" spans="1:1" x14ac:dyDescent="0.25">
      <c r="A71" s="33"/>
    </row>
    <row r="72" spans="1:1" x14ac:dyDescent="0.25">
      <c r="A72" s="33"/>
    </row>
    <row r="73" spans="1:1" x14ac:dyDescent="0.25">
      <c r="A73" s="33"/>
    </row>
    <row r="74" spans="1:1" x14ac:dyDescent="0.25">
      <c r="A74" s="33"/>
    </row>
    <row r="75" spans="1:1" x14ac:dyDescent="0.25">
      <c r="A75" s="33"/>
    </row>
    <row r="76" spans="1:1" x14ac:dyDescent="0.25">
      <c r="A76" s="33"/>
    </row>
  </sheetData>
  <sheetProtection algorithmName="SHA-512" hashValue="iTUa8w5Yd/svhPq3jR92t1nO00HmI9uWxAD5430xMsCcWfcvkbk31OwaSD5TOjGK9uS3pHGn2XxmD1N4K7uhBw==" saltValue="obcrZIFC1Y/otk+7Xh1GWQ==" spinCount="100000" sheet="1" objects="1" scenarios="1"/>
  <phoneticPr fontId="0" type="noConversion"/>
  <printOptions horizontalCentered="1"/>
  <pageMargins left="0.25" right="0.25" top="1.5" bottom="1" header="1" footer="0.5"/>
  <pageSetup scale="75" orientation="landscape" horizontalDpi="300" r:id="rId1"/>
  <headerFooter alignWithMargins="0">
    <oddHeader xml:space="preserve">&amp;L&amp;"Arial,Bold"&amp;12State of &amp;C&amp;"Arial,Bold"&amp;12Appendix &amp;A&amp;R&amp;"Arial,Bold"&amp;12 </oddHeader>
    <oddFooter>&amp;L&amp;8'&amp;A'&amp;C&amp;8Page &amp;P of &amp;N&amp;R&amp;8&amp;F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CA42"/>
  <sheetViews>
    <sheetView workbookViewId="0"/>
  </sheetViews>
  <sheetFormatPr defaultRowHeight="12.5" x14ac:dyDescent="0.25"/>
  <cols>
    <col min="2" max="2" width="21" customWidth="1"/>
    <col min="3" max="3" width="64.7265625" customWidth="1"/>
    <col min="4" max="4" width="15.453125" customWidth="1"/>
    <col min="5" max="5" width="13.54296875" customWidth="1"/>
    <col min="6" max="6" width="19.54296875" customWidth="1"/>
    <col min="7" max="7" width="13.26953125" customWidth="1"/>
    <col min="8" max="8" width="11.1796875" customWidth="1"/>
    <col min="9" max="9" width="12.81640625" customWidth="1"/>
  </cols>
  <sheetData>
    <row r="1" spans="1:79" s="4" customFormat="1" ht="30" x14ac:dyDescent="0.25">
      <c r="A1" s="16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L1" s="17"/>
    </row>
    <row r="2" spans="1:79" s="22" customFormat="1" ht="13" x14ac:dyDescent="0.3">
      <c r="A2" s="18">
        <v>2</v>
      </c>
      <c r="B2" s="19" t="s">
        <v>260</v>
      </c>
      <c r="C2" s="20"/>
      <c r="D2" s="20"/>
      <c r="E2" s="20"/>
      <c r="F2" s="20"/>
      <c r="G2" s="20"/>
      <c r="H2" s="20"/>
      <c r="I2" s="20"/>
      <c r="J2" s="20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  <c r="AO2" s="21"/>
      <c r="AP2" s="21"/>
      <c r="AQ2" s="21"/>
      <c r="AR2" s="21"/>
      <c r="AS2" s="21"/>
      <c r="AT2" s="21"/>
      <c r="AU2" s="21"/>
      <c r="AV2" s="21"/>
      <c r="AW2" s="21"/>
      <c r="AX2" s="21"/>
      <c r="AY2" s="21"/>
      <c r="AZ2" s="21"/>
      <c r="BA2" s="21"/>
      <c r="BB2" s="21"/>
      <c r="BC2" s="21"/>
      <c r="BD2" s="21"/>
      <c r="BE2" s="21"/>
      <c r="BF2" s="21"/>
      <c r="BG2" s="21"/>
      <c r="BH2" s="21"/>
      <c r="BI2" s="21"/>
      <c r="BJ2" s="21"/>
      <c r="BK2" s="21"/>
      <c r="BL2" s="21"/>
      <c r="BM2" s="21"/>
      <c r="BN2" s="21"/>
      <c r="BO2" s="21"/>
      <c r="BP2" s="21"/>
      <c r="BQ2" s="21"/>
      <c r="BR2" s="21"/>
      <c r="BS2" s="21"/>
      <c r="BT2" s="21"/>
      <c r="BU2" s="21"/>
      <c r="BV2" s="21"/>
      <c r="BW2" s="21"/>
      <c r="BX2" s="21"/>
      <c r="BY2" s="21"/>
      <c r="BZ2" s="21"/>
      <c r="CA2" s="21"/>
    </row>
    <row r="3" spans="1:79" s="22" customFormat="1" x14ac:dyDescent="0.25">
      <c r="A3" s="18">
        <v>3</v>
      </c>
      <c r="B3"/>
      <c r="C3"/>
      <c r="D3" t="s">
        <v>400</v>
      </c>
      <c r="E3" t="str">
        <f>'D1. Member Months'!G4</f>
        <v>Minnesota</v>
      </c>
      <c r="F3" s="20"/>
      <c r="G3" s="20"/>
      <c r="H3" s="20"/>
      <c r="I3" s="20"/>
      <c r="J3" s="20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1"/>
      <c r="AS3" s="21"/>
      <c r="AT3" s="21"/>
      <c r="AU3" s="21"/>
      <c r="AV3" s="21"/>
      <c r="AW3" s="21"/>
      <c r="AX3" s="21"/>
      <c r="AY3" s="21"/>
      <c r="AZ3" s="21"/>
      <c r="BA3" s="21"/>
      <c r="BB3" s="21"/>
      <c r="BC3" s="21"/>
      <c r="BD3" s="21"/>
      <c r="BE3" s="21"/>
      <c r="BF3" s="21"/>
      <c r="BG3" s="21"/>
      <c r="BH3" s="21"/>
      <c r="BI3" s="21"/>
      <c r="BJ3" s="21"/>
      <c r="BK3" s="21"/>
      <c r="BL3" s="21"/>
      <c r="BM3" s="21"/>
      <c r="BN3" s="21"/>
      <c r="BO3" s="21"/>
      <c r="BP3" s="21"/>
      <c r="BQ3" s="21"/>
      <c r="BR3" s="21"/>
      <c r="BS3" s="21"/>
      <c r="BT3" s="21"/>
      <c r="BU3" s="21"/>
      <c r="BV3" s="21"/>
      <c r="BW3" s="21"/>
      <c r="BX3" s="21"/>
      <c r="BY3" s="21"/>
      <c r="BZ3" s="21"/>
      <c r="CA3" s="21"/>
    </row>
    <row r="4" spans="1:79" s="22" customFormat="1" ht="13" x14ac:dyDescent="0.3">
      <c r="A4" s="18">
        <v>4</v>
      </c>
      <c r="B4" s="19" t="s">
        <v>236</v>
      </c>
      <c r="C4" s="20"/>
      <c r="D4" s="20"/>
      <c r="E4" s="20"/>
      <c r="F4" s="20"/>
      <c r="G4" s="20"/>
      <c r="H4" s="20"/>
      <c r="I4" s="20"/>
      <c r="J4" s="20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21"/>
      <c r="AS4" s="21"/>
      <c r="AT4" s="21"/>
      <c r="AU4" s="21"/>
      <c r="AV4" s="21"/>
      <c r="AW4" s="21"/>
      <c r="AX4" s="21"/>
      <c r="AY4" s="21"/>
      <c r="AZ4" s="21"/>
      <c r="BA4" s="21"/>
      <c r="BB4" s="21"/>
      <c r="BC4" s="21"/>
      <c r="BD4" s="21"/>
      <c r="BE4" s="21"/>
      <c r="BF4" s="21"/>
      <c r="BG4" s="21"/>
      <c r="BH4" s="21"/>
      <c r="BI4" s="21"/>
      <c r="BJ4" s="21"/>
      <c r="BK4" s="21"/>
      <c r="BL4" s="21"/>
      <c r="BM4" s="21"/>
      <c r="BN4" s="21"/>
      <c r="BO4" s="21"/>
      <c r="BP4" s="21"/>
      <c r="BQ4" s="21"/>
      <c r="BR4" s="21"/>
      <c r="BS4" s="21"/>
      <c r="BT4" s="21"/>
      <c r="BU4" s="21"/>
      <c r="BV4" s="21"/>
      <c r="BW4" s="21"/>
      <c r="BX4" s="21"/>
      <c r="BY4" s="21"/>
      <c r="BZ4" s="21"/>
      <c r="CA4" s="21"/>
    </row>
    <row r="5" spans="1:79" s="22" customFormat="1" ht="13" x14ac:dyDescent="0.3">
      <c r="A5" s="18">
        <v>5</v>
      </c>
      <c r="B5" s="19" t="s">
        <v>261</v>
      </c>
      <c r="C5" s="20"/>
      <c r="D5" s="20"/>
      <c r="E5" s="20"/>
      <c r="F5" s="20"/>
      <c r="G5" s="20"/>
      <c r="H5" s="20"/>
      <c r="I5" s="20"/>
      <c r="J5" s="20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  <c r="AN5" s="21"/>
      <c r="AO5" s="21"/>
      <c r="AP5" s="21"/>
      <c r="AQ5" s="21"/>
      <c r="AR5" s="21"/>
      <c r="AS5" s="21"/>
      <c r="AT5" s="21"/>
      <c r="AU5" s="21"/>
      <c r="AV5" s="21"/>
      <c r="AW5" s="21"/>
      <c r="AX5" s="21"/>
      <c r="AY5" s="21"/>
      <c r="AZ5" s="21"/>
      <c r="BA5" s="21"/>
      <c r="BB5" s="21"/>
      <c r="BC5" s="21"/>
      <c r="BD5" s="21"/>
      <c r="BE5" s="21"/>
      <c r="BF5" s="21"/>
      <c r="BG5" s="21"/>
      <c r="BH5" s="21"/>
      <c r="BI5" s="21"/>
      <c r="BJ5" s="21"/>
      <c r="BK5" s="21"/>
      <c r="BL5" s="21"/>
      <c r="BM5" s="21"/>
      <c r="BN5" s="21"/>
      <c r="BO5" s="21"/>
      <c r="BP5" s="21"/>
      <c r="BQ5" s="21"/>
      <c r="BR5" s="21"/>
      <c r="BS5" s="21"/>
      <c r="BT5" s="21"/>
      <c r="BU5" s="21"/>
      <c r="BV5" s="21"/>
      <c r="BW5" s="21"/>
      <c r="BX5" s="21"/>
      <c r="BY5" s="21"/>
      <c r="BZ5" s="21"/>
      <c r="CA5" s="21"/>
    </row>
    <row r="6" spans="1:79" s="22" customFormat="1" ht="13" x14ac:dyDescent="0.3">
      <c r="A6" s="18">
        <v>6</v>
      </c>
      <c r="B6" s="20"/>
      <c r="C6" s="331"/>
      <c r="D6" s="20"/>
      <c r="E6" s="20"/>
      <c r="F6" s="20"/>
      <c r="G6" s="20"/>
      <c r="H6" s="20"/>
      <c r="I6" s="20"/>
      <c r="J6" s="20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  <c r="AW6" s="21"/>
      <c r="AX6" s="21"/>
      <c r="AY6" s="21"/>
      <c r="AZ6" s="21"/>
      <c r="BA6" s="21"/>
      <c r="BB6" s="21"/>
      <c r="BC6" s="21"/>
      <c r="BD6" s="21"/>
      <c r="BE6" s="21"/>
      <c r="BF6" s="21"/>
      <c r="BG6" s="21"/>
      <c r="BH6" s="21"/>
      <c r="BI6" s="21"/>
      <c r="BJ6" s="21"/>
      <c r="BK6" s="21"/>
      <c r="BL6" s="21"/>
      <c r="BM6" s="21"/>
      <c r="BN6" s="21"/>
      <c r="BO6" s="21"/>
      <c r="BP6" s="21"/>
      <c r="BQ6" s="21"/>
      <c r="BR6" s="21"/>
      <c r="BS6" s="21"/>
      <c r="BT6" s="21"/>
      <c r="BU6" s="21"/>
      <c r="BV6" s="21"/>
      <c r="BW6" s="21"/>
      <c r="BX6" s="21"/>
      <c r="BY6" s="21"/>
      <c r="BZ6" s="21"/>
      <c r="CA6" s="21"/>
    </row>
    <row r="7" spans="1:79" s="22" customFormat="1" ht="18" customHeight="1" x14ac:dyDescent="0.3">
      <c r="A7" s="18">
        <v>7</v>
      </c>
      <c r="B7" s="332" t="s">
        <v>262</v>
      </c>
      <c r="C7" s="333" t="s">
        <v>263</v>
      </c>
      <c r="D7" s="333" t="s">
        <v>264</v>
      </c>
      <c r="E7" s="333" t="s">
        <v>265</v>
      </c>
      <c r="F7" s="333" t="s">
        <v>335</v>
      </c>
      <c r="G7"/>
      <c r="H7"/>
      <c r="I7" s="26"/>
      <c r="J7" s="27"/>
      <c r="K7" s="27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1"/>
      <c r="AL7" s="21"/>
      <c r="AM7" s="21"/>
      <c r="AN7" s="21"/>
      <c r="AO7" s="21"/>
      <c r="AP7" s="21"/>
      <c r="AQ7" s="21"/>
      <c r="AR7" s="21"/>
      <c r="AS7" s="21"/>
      <c r="AT7" s="21"/>
      <c r="AU7" s="21"/>
      <c r="AV7" s="21"/>
      <c r="AW7" s="21"/>
      <c r="AX7" s="21"/>
      <c r="AY7" s="21"/>
      <c r="AZ7" s="21"/>
      <c r="BA7" s="21"/>
      <c r="BB7" s="21"/>
      <c r="BC7" s="21"/>
      <c r="BD7" s="21"/>
      <c r="BE7" s="21"/>
      <c r="BF7" s="21"/>
      <c r="BG7" s="21"/>
      <c r="BH7" s="21"/>
      <c r="BI7" s="21"/>
      <c r="BJ7" s="21"/>
      <c r="BK7" s="21"/>
      <c r="BL7" s="21"/>
      <c r="BM7" s="21"/>
      <c r="BN7" s="21"/>
      <c r="BO7" s="21"/>
      <c r="BP7" s="21"/>
      <c r="BQ7" s="21"/>
      <c r="BR7" s="21"/>
      <c r="BS7" s="21"/>
      <c r="BT7" s="21"/>
      <c r="BU7" s="21"/>
      <c r="BV7" s="21"/>
      <c r="BW7" s="21"/>
      <c r="BX7" s="21"/>
      <c r="BY7" s="21"/>
      <c r="BZ7" s="21"/>
    </row>
    <row r="8" spans="1:79" x14ac:dyDescent="0.25">
      <c r="A8" s="18">
        <v>8</v>
      </c>
      <c r="B8" s="431">
        <v>1</v>
      </c>
      <c r="C8" s="432" t="s">
        <v>336</v>
      </c>
      <c r="D8" s="433"/>
      <c r="E8" s="434" t="s">
        <v>337</v>
      </c>
      <c r="F8" s="435"/>
    </row>
    <row r="9" spans="1:79" x14ac:dyDescent="0.25">
      <c r="A9" s="18">
        <v>9</v>
      </c>
      <c r="B9" s="436">
        <v>2</v>
      </c>
      <c r="C9" s="437" t="s">
        <v>379</v>
      </c>
      <c r="D9" s="438"/>
      <c r="E9" s="439" t="s">
        <v>337</v>
      </c>
      <c r="F9" s="440"/>
    </row>
    <row r="10" spans="1:79" x14ac:dyDescent="0.25">
      <c r="A10" s="18">
        <v>10</v>
      </c>
      <c r="B10" s="436" t="s">
        <v>338</v>
      </c>
      <c r="C10" s="437" t="s">
        <v>339</v>
      </c>
      <c r="D10" s="438"/>
      <c r="E10" s="439" t="s">
        <v>337</v>
      </c>
      <c r="F10" s="440"/>
    </row>
    <row r="11" spans="1:79" x14ac:dyDescent="0.25">
      <c r="A11" s="18">
        <v>11</v>
      </c>
      <c r="B11" s="436" t="s">
        <v>340</v>
      </c>
      <c r="C11" s="437" t="s">
        <v>341</v>
      </c>
      <c r="D11" s="438"/>
      <c r="E11" s="439" t="s">
        <v>337</v>
      </c>
      <c r="F11" s="440"/>
      <c r="H11" s="379"/>
      <c r="I11" s="380"/>
    </row>
    <row r="12" spans="1:79" x14ac:dyDescent="0.25">
      <c r="A12" s="18">
        <v>12</v>
      </c>
      <c r="B12" s="441" t="s">
        <v>342</v>
      </c>
      <c r="C12" s="442" t="s">
        <v>343</v>
      </c>
      <c r="D12" s="443"/>
      <c r="E12" s="439" t="s">
        <v>337</v>
      </c>
      <c r="F12" s="440"/>
      <c r="H12" s="379"/>
      <c r="I12" s="380"/>
    </row>
    <row r="13" spans="1:79" x14ac:dyDescent="0.25">
      <c r="A13" s="18">
        <v>13</v>
      </c>
      <c r="B13" s="441">
        <v>3</v>
      </c>
      <c r="C13" s="442" t="s">
        <v>344</v>
      </c>
      <c r="D13" s="444"/>
      <c r="E13" s="439" t="s">
        <v>266</v>
      </c>
      <c r="F13" s="440"/>
      <c r="H13" s="379"/>
      <c r="I13" s="381"/>
    </row>
    <row r="14" spans="1:79" x14ac:dyDescent="0.25">
      <c r="A14" s="18">
        <v>14</v>
      </c>
      <c r="B14" s="436">
        <v>4</v>
      </c>
      <c r="C14" s="437" t="s">
        <v>380</v>
      </c>
      <c r="D14" s="438"/>
      <c r="E14" s="439" t="s">
        <v>266</v>
      </c>
      <c r="F14" s="440"/>
      <c r="H14" s="382"/>
    </row>
    <row r="15" spans="1:79" x14ac:dyDescent="0.25">
      <c r="A15" s="18">
        <v>15</v>
      </c>
      <c r="B15" s="436" t="s">
        <v>338</v>
      </c>
      <c r="C15" s="437" t="s">
        <v>339</v>
      </c>
      <c r="D15" s="438"/>
      <c r="E15" s="439" t="s">
        <v>266</v>
      </c>
      <c r="F15" s="440"/>
      <c r="H15" s="382"/>
    </row>
    <row r="16" spans="1:79" x14ac:dyDescent="0.25">
      <c r="A16" s="18">
        <v>16</v>
      </c>
      <c r="B16" s="441" t="s">
        <v>345</v>
      </c>
      <c r="C16" s="442" t="s">
        <v>341</v>
      </c>
      <c r="D16" s="444"/>
      <c r="E16" s="439" t="s">
        <v>266</v>
      </c>
      <c r="F16" s="440"/>
      <c r="H16" s="379"/>
      <c r="I16" s="383"/>
    </row>
    <row r="17" spans="1:9" x14ac:dyDescent="0.25">
      <c r="A17" s="18">
        <v>17</v>
      </c>
      <c r="B17" s="436">
        <v>5</v>
      </c>
      <c r="C17" s="437" t="s">
        <v>346</v>
      </c>
      <c r="D17" s="438"/>
      <c r="E17" s="445" t="s">
        <v>267</v>
      </c>
      <c r="F17" s="440"/>
      <c r="H17" s="379"/>
      <c r="I17" s="381"/>
    </row>
    <row r="18" spans="1:9" x14ac:dyDescent="0.25">
      <c r="A18" s="18">
        <v>18</v>
      </c>
      <c r="B18" s="436" t="s">
        <v>338</v>
      </c>
      <c r="C18" s="437" t="s">
        <v>347</v>
      </c>
      <c r="D18" s="438"/>
      <c r="E18" s="445" t="s">
        <v>267</v>
      </c>
      <c r="F18" s="440"/>
    </row>
    <row r="19" spans="1:9" x14ac:dyDescent="0.25">
      <c r="A19" s="18">
        <v>19</v>
      </c>
      <c r="B19" s="441" t="s">
        <v>340</v>
      </c>
      <c r="C19" s="442" t="s">
        <v>341</v>
      </c>
      <c r="D19" s="444"/>
      <c r="E19" s="445" t="s">
        <v>267</v>
      </c>
      <c r="F19" s="440"/>
    </row>
    <row r="20" spans="1:9" x14ac:dyDescent="0.25">
      <c r="A20" s="18">
        <v>20</v>
      </c>
      <c r="B20" s="441">
        <v>6</v>
      </c>
      <c r="C20" s="442" t="s">
        <v>348</v>
      </c>
      <c r="D20" s="444"/>
      <c r="E20" s="439" t="s">
        <v>266</v>
      </c>
      <c r="F20" s="440"/>
    </row>
    <row r="21" spans="1:9" x14ac:dyDescent="0.25">
      <c r="A21" s="18">
        <v>21</v>
      </c>
      <c r="B21" s="436" t="s">
        <v>349</v>
      </c>
      <c r="C21" s="437" t="s">
        <v>350</v>
      </c>
      <c r="D21" s="438"/>
      <c r="E21" s="445" t="s">
        <v>267</v>
      </c>
      <c r="F21" s="440"/>
    </row>
    <row r="22" spans="1:9" x14ac:dyDescent="0.25">
      <c r="A22" s="18">
        <v>22</v>
      </c>
      <c r="B22" s="441" t="s">
        <v>345</v>
      </c>
      <c r="C22" s="442" t="s">
        <v>351</v>
      </c>
      <c r="D22" s="444"/>
      <c r="E22" s="445" t="s">
        <v>267</v>
      </c>
      <c r="F22" s="440"/>
      <c r="G22" s="334"/>
    </row>
    <row r="23" spans="1:9" x14ac:dyDescent="0.25">
      <c r="A23" s="18">
        <v>23</v>
      </c>
      <c r="B23" s="446">
        <v>8</v>
      </c>
      <c r="C23" s="446" t="s">
        <v>352</v>
      </c>
      <c r="D23" s="447"/>
      <c r="E23" s="448" t="s">
        <v>353</v>
      </c>
      <c r="F23" s="440"/>
    </row>
    <row r="24" spans="1:9" x14ac:dyDescent="0.25">
      <c r="A24" s="18">
        <v>24</v>
      </c>
      <c r="B24" s="432">
        <v>9</v>
      </c>
      <c r="C24" s="432" t="s">
        <v>354</v>
      </c>
      <c r="D24" s="449"/>
      <c r="E24" s="450" t="s">
        <v>267</v>
      </c>
      <c r="F24" s="440"/>
    </row>
    <row r="25" spans="1:9" x14ac:dyDescent="0.25">
      <c r="A25" s="18">
        <v>25</v>
      </c>
      <c r="B25" s="441">
        <v>10</v>
      </c>
      <c r="C25" s="442" t="s">
        <v>355</v>
      </c>
      <c r="D25" s="444"/>
      <c r="E25" s="439" t="s">
        <v>266</v>
      </c>
      <c r="F25" s="440"/>
    </row>
    <row r="26" spans="1:9" x14ac:dyDescent="0.25">
      <c r="A26" s="18">
        <v>26</v>
      </c>
      <c r="B26" s="441">
        <v>11</v>
      </c>
      <c r="C26" s="442" t="s">
        <v>356</v>
      </c>
      <c r="D26" s="444"/>
      <c r="E26" s="439" t="s">
        <v>266</v>
      </c>
      <c r="F26" s="440"/>
    </row>
    <row r="27" spans="1:9" x14ac:dyDescent="0.25">
      <c r="A27" s="18">
        <v>27</v>
      </c>
      <c r="B27" s="441">
        <v>12</v>
      </c>
      <c r="C27" s="442" t="s">
        <v>357</v>
      </c>
      <c r="D27" s="444"/>
      <c r="E27" s="439" t="s">
        <v>266</v>
      </c>
      <c r="F27" s="440"/>
    </row>
    <row r="28" spans="1:9" x14ac:dyDescent="0.25">
      <c r="A28" s="18">
        <v>28</v>
      </c>
      <c r="B28" s="441">
        <v>13</v>
      </c>
      <c r="C28" s="442" t="s">
        <v>358</v>
      </c>
      <c r="D28" s="444"/>
      <c r="E28" s="439" t="s">
        <v>267</v>
      </c>
      <c r="F28" s="440"/>
    </row>
    <row r="29" spans="1:9" x14ac:dyDescent="0.25">
      <c r="A29" s="18">
        <v>29</v>
      </c>
      <c r="B29" s="451" t="s">
        <v>359</v>
      </c>
      <c r="C29" s="442" t="s">
        <v>360</v>
      </c>
      <c r="D29" s="452"/>
      <c r="E29" s="439" t="s">
        <v>337</v>
      </c>
      <c r="F29" s="440"/>
    </row>
    <row r="30" spans="1:9" x14ac:dyDescent="0.25">
      <c r="A30" s="18">
        <v>30</v>
      </c>
      <c r="B30" s="451" t="s">
        <v>361</v>
      </c>
      <c r="C30" s="442" t="s">
        <v>362</v>
      </c>
      <c r="D30" s="452"/>
      <c r="E30" s="439" t="s">
        <v>337</v>
      </c>
      <c r="F30" s="440"/>
    </row>
    <row r="31" spans="1:9" x14ac:dyDescent="0.25">
      <c r="A31" s="18">
        <v>31</v>
      </c>
      <c r="B31" s="451" t="s">
        <v>363</v>
      </c>
      <c r="C31" s="453" t="s">
        <v>364</v>
      </c>
      <c r="D31" s="452"/>
      <c r="E31" s="439" t="s">
        <v>266</v>
      </c>
      <c r="F31" s="440"/>
    </row>
    <row r="32" spans="1:9" x14ac:dyDescent="0.25">
      <c r="A32" s="18">
        <v>32</v>
      </c>
      <c r="B32" s="451" t="s">
        <v>365</v>
      </c>
      <c r="C32" s="453" t="s">
        <v>366</v>
      </c>
      <c r="D32" s="452"/>
      <c r="E32" s="439" t="s">
        <v>266</v>
      </c>
      <c r="F32" s="440"/>
    </row>
    <row r="33" spans="1:6" x14ac:dyDescent="0.25">
      <c r="A33" s="18">
        <v>33</v>
      </c>
      <c r="B33" s="451" t="s">
        <v>367</v>
      </c>
      <c r="C33" s="453" t="s">
        <v>368</v>
      </c>
      <c r="D33" s="452"/>
      <c r="E33" s="439" t="s">
        <v>267</v>
      </c>
      <c r="F33" s="440"/>
    </row>
    <row r="34" spans="1:6" x14ac:dyDescent="0.25">
      <c r="A34" s="18">
        <v>34</v>
      </c>
      <c r="B34" s="451" t="s">
        <v>369</v>
      </c>
      <c r="C34" s="453" t="s">
        <v>370</v>
      </c>
      <c r="D34" s="452"/>
      <c r="E34" s="439" t="s">
        <v>267</v>
      </c>
      <c r="F34" s="440"/>
    </row>
    <row r="35" spans="1:6" x14ac:dyDescent="0.25">
      <c r="A35" s="18">
        <v>35</v>
      </c>
      <c r="B35" s="454">
        <v>20</v>
      </c>
      <c r="C35" s="455" t="s">
        <v>98</v>
      </c>
      <c r="D35" s="456"/>
      <c r="E35" s="457"/>
      <c r="F35" s="458">
        <f>SUM(F8:F34)</f>
        <v>0</v>
      </c>
    </row>
    <row r="36" spans="1:6" x14ac:dyDescent="0.25">
      <c r="A36" s="18">
        <v>36</v>
      </c>
    </row>
    <row r="37" spans="1:6" x14ac:dyDescent="0.25">
      <c r="A37" s="18">
        <v>37</v>
      </c>
      <c r="B37" s="459" t="s">
        <v>371</v>
      </c>
    </row>
    <row r="38" spans="1:6" x14ac:dyDescent="0.25">
      <c r="A38" s="18">
        <v>38</v>
      </c>
      <c r="B38" s="403" t="s">
        <v>372</v>
      </c>
      <c r="C38" s="460"/>
      <c r="D38" s="460"/>
      <c r="E38" s="460"/>
      <c r="F38" s="460"/>
    </row>
    <row r="39" spans="1:6" x14ac:dyDescent="0.25">
      <c r="A39" s="18">
        <v>39</v>
      </c>
      <c r="B39" s="413" t="s">
        <v>333</v>
      </c>
    </row>
    <row r="42" spans="1:6" ht="18" x14ac:dyDescent="0.4">
      <c r="B42" s="540" t="s">
        <v>544</v>
      </c>
      <c r="C42" s="540" t="s">
        <v>545</v>
      </c>
    </row>
  </sheetData>
  <sheetProtection algorithmName="SHA-512" hashValue="x1FRbnL8BfwsvbCzIlPjva56martfj8ZZj8ZvV1DrIuazhWCKWhc2GGyxKeQ/ZojxWWxwS3E7h2j2osfqvvx4Q==" saltValue="TtrI5k9MPNicMaggfhccRw==" spinCount="100000" sheet="1" objects="1" scenarios="1"/>
  <phoneticPr fontId="0" type="noConversion"/>
  <pageMargins left="0.75" right="0.75" top="1" bottom="1" header="0.5" footer="0.5"/>
  <pageSetup scale="65" orientation="landscape" r:id="rId1"/>
  <headerFooter alignWithMargins="0">
    <oddHeader>&amp;L&amp;"Arial,Bold"State of &amp;C&amp;"Arial,Bold"Appendix D2.A Administration in Waiver Cost</oddHeader>
    <oddFooter>&amp;L&amp;A&amp;CPage &amp;P of &amp;N&amp;R&amp;F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"/>
  <dimension ref="A1:IM42"/>
  <sheetViews>
    <sheetView showGridLines="0" view="pageBreakPreview" zoomScaleNormal="100" zoomScaleSheetLayoutView="100" workbookViewId="0"/>
  </sheetViews>
  <sheetFormatPr defaultColWidth="9.1796875" defaultRowHeight="10" x14ac:dyDescent="0.25"/>
  <cols>
    <col min="1" max="1" width="6.7265625" style="2" customWidth="1"/>
    <col min="2" max="2" width="43" style="3" bestFit="1" customWidth="1"/>
    <col min="3" max="3" width="11" style="3" customWidth="1"/>
    <col min="4" max="4" width="25.7265625" style="3" bestFit="1" customWidth="1"/>
    <col min="5" max="6" width="14.7265625" style="3" customWidth="1"/>
    <col min="7" max="7" width="20.26953125" style="3" bestFit="1" customWidth="1"/>
    <col min="8" max="8" width="14.7265625" style="3" customWidth="1"/>
    <col min="9" max="9" width="17.7265625" style="3" customWidth="1"/>
    <col min="10" max="10" width="14.7265625" style="3" customWidth="1"/>
    <col min="11" max="15" width="21.7265625" style="3" customWidth="1"/>
    <col min="16" max="16" width="1.54296875" style="3" customWidth="1"/>
    <col min="17" max="17" width="10.1796875" style="3" customWidth="1"/>
    <col min="18" max="18" width="9.7265625" style="3" customWidth="1"/>
    <col min="19" max="19" width="11.1796875" style="3" customWidth="1"/>
    <col min="20" max="20" width="10.26953125" style="3" customWidth="1"/>
    <col min="21" max="16384" width="9.1796875" style="3"/>
  </cols>
  <sheetData>
    <row r="1" spans="1:247" s="2" customFormat="1" ht="30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68</v>
      </c>
      <c r="IM1" s="3"/>
    </row>
    <row r="2" spans="1:247" s="35" customFormat="1" ht="13" x14ac:dyDescent="0.25">
      <c r="A2" s="2">
        <v>2</v>
      </c>
      <c r="B2" s="5" t="s">
        <v>237</v>
      </c>
      <c r="C2" s="34"/>
      <c r="D2" s="34"/>
      <c r="E2" s="34"/>
      <c r="F2" s="34"/>
      <c r="G2" s="34"/>
      <c r="H2" s="34"/>
      <c r="I2" s="34"/>
      <c r="J2" s="34"/>
      <c r="K2" s="5" t="s">
        <v>237</v>
      </c>
      <c r="L2" s="34"/>
      <c r="M2" s="34"/>
      <c r="N2" s="34"/>
    </row>
    <row r="3" spans="1:247" customFormat="1" ht="12.5" x14ac:dyDescent="0.25">
      <c r="E3" t="s">
        <v>400</v>
      </c>
      <c r="F3" t="str">
        <f>'D1. Member Months'!G4</f>
        <v>Minnesota</v>
      </c>
      <c r="L3" t="s">
        <v>400</v>
      </c>
      <c r="M3" t="str">
        <f>'D1. Member Months'!G4</f>
        <v>Minnesota</v>
      </c>
    </row>
    <row r="4" spans="1:247" ht="18" customHeight="1" x14ac:dyDescent="0.25">
      <c r="A4" s="2">
        <v>4</v>
      </c>
      <c r="B4" s="36"/>
      <c r="C4" s="37"/>
      <c r="D4" s="37"/>
      <c r="E4" s="37"/>
      <c r="G4" s="37"/>
    </row>
    <row r="5" spans="1:247" ht="18" customHeight="1" x14ac:dyDescent="0.25">
      <c r="A5" s="2">
        <v>5</v>
      </c>
      <c r="B5" s="38"/>
      <c r="C5" s="37"/>
      <c r="D5" s="37"/>
      <c r="E5" s="37"/>
      <c r="F5" s="39"/>
      <c r="G5" s="37"/>
      <c r="H5" s="39"/>
      <c r="K5" s="39"/>
    </row>
    <row r="6" spans="1:247" ht="18" customHeight="1" thickBot="1" x14ac:dyDescent="0.3">
      <c r="A6" s="2">
        <v>6</v>
      </c>
      <c r="B6" s="38"/>
      <c r="C6" s="37"/>
      <c r="D6" s="37"/>
      <c r="E6" s="37"/>
      <c r="F6" s="40"/>
      <c r="G6" s="37"/>
      <c r="I6" s="39"/>
      <c r="J6" s="39"/>
      <c r="K6" s="40"/>
      <c r="L6" s="39"/>
      <c r="M6" s="39"/>
    </row>
    <row r="7" spans="1:247" ht="15" customHeight="1" x14ac:dyDescent="0.25">
      <c r="A7" s="2">
        <v>7</v>
      </c>
      <c r="B7" s="255"/>
      <c r="C7" s="256"/>
      <c r="D7" s="257" t="s">
        <v>249</v>
      </c>
      <c r="E7" s="253"/>
      <c r="F7" s="253"/>
      <c r="G7" s="253"/>
      <c r="H7" s="258"/>
      <c r="I7" s="253"/>
      <c r="J7" s="259"/>
      <c r="K7" s="252" t="s">
        <v>247</v>
      </c>
      <c r="L7" s="253"/>
      <c r="M7" s="253"/>
      <c r="N7" s="253"/>
      <c r="O7" s="259"/>
      <c r="Q7" s="41"/>
      <c r="R7" s="41"/>
      <c r="S7" s="41"/>
      <c r="T7" s="41"/>
    </row>
    <row r="8" spans="1:247" s="42" customFormat="1" ht="10.5" x14ac:dyDescent="0.25">
      <c r="A8" s="2">
        <v>8</v>
      </c>
      <c r="B8" s="168"/>
      <c r="C8" s="87"/>
      <c r="D8" s="81" t="s">
        <v>69</v>
      </c>
      <c r="E8" s="82"/>
      <c r="F8" s="82"/>
      <c r="G8" s="82" t="s">
        <v>195</v>
      </c>
      <c r="H8" s="82" t="s">
        <v>70</v>
      </c>
      <c r="I8" s="82" t="s">
        <v>71</v>
      </c>
      <c r="J8" s="160"/>
      <c r="K8" s="81"/>
      <c r="L8" s="82"/>
      <c r="M8" s="82"/>
      <c r="N8" s="82"/>
      <c r="O8" s="160"/>
      <c r="Q8" s="43"/>
      <c r="R8" s="43"/>
      <c r="S8" s="44"/>
      <c r="T8" s="44"/>
    </row>
    <row r="9" spans="1:247" s="42" customFormat="1" ht="10.5" x14ac:dyDescent="0.25">
      <c r="A9" s="2">
        <v>9</v>
      </c>
      <c r="B9" s="168" t="s">
        <v>72</v>
      </c>
      <c r="C9" s="87" t="s">
        <v>245</v>
      </c>
      <c r="D9" s="247" t="s">
        <v>192</v>
      </c>
      <c r="E9" s="86"/>
      <c r="F9" s="86"/>
      <c r="G9" s="86" t="s">
        <v>86</v>
      </c>
      <c r="H9" s="86" t="s">
        <v>73</v>
      </c>
      <c r="I9" s="86" t="s">
        <v>86</v>
      </c>
      <c r="J9" s="87"/>
      <c r="K9" s="85"/>
      <c r="L9" s="86"/>
      <c r="M9" s="86"/>
      <c r="N9" s="86"/>
      <c r="O9" s="87"/>
      <c r="Q9" s="43"/>
      <c r="R9" s="43"/>
      <c r="S9" s="44"/>
      <c r="T9" s="44"/>
    </row>
    <row r="10" spans="1:247" s="42" customFormat="1" ht="23.25" customHeight="1" x14ac:dyDescent="0.25">
      <c r="A10" s="2">
        <v>10</v>
      </c>
      <c r="B10" s="168" t="s">
        <v>74</v>
      </c>
      <c r="C10" s="87" t="s">
        <v>75</v>
      </c>
      <c r="D10" s="248" t="s">
        <v>193</v>
      </c>
      <c r="E10" s="86" t="s">
        <v>77</v>
      </c>
      <c r="F10" s="86" t="s">
        <v>78</v>
      </c>
      <c r="G10" s="86" t="s">
        <v>210</v>
      </c>
      <c r="H10" s="86" t="s">
        <v>79</v>
      </c>
      <c r="I10" s="86"/>
      <c r="J10" s="87" t="s">
        <v>80</v>
      </c>
      <c r="K10" s="85" t="s">
        <v>26</v>
      </c>
      <c r="L10" s="86" t="s">
        <v>81</v>
      </c>
      <c r="M10" s="86" t="s">
        <v>27</v>
      </c>
      <c r="N10" s="86" t="s">
        <v>82</v>
      </c>
      <c r="O10" s="87" t="s">
        <v>83</v>
      </c>
      <c r="Q10" s="43"/>
      <c r="R10" s="43"/>
      <c r="S10" s="44"/>
      <c r="T10" s="44"/>
    </row>
    <row r="11" spans="1:247" s="42" customFormat="1" ht="11.25" customHeight="1" x14ac:dyDescent="0.25">
      <c r="A11" s="2">
        <v>11</v>
      </c>
      <c r="B11" s="168"/>
      <c r="C11" s="87" t="s">
        <v>84</v>
      </c>
      <c r="D11" s="85" t="s">
        <v>76</v>
      </c>
      <c r="E11" s="86" t="s">
        <v>86</v>
      </c>
      <c r="F11" s="86" t="s">
        <v>87</v>
      </c>
      <c r="G11" s="86" t="s">
        <v>88</v>
      </c>
      <c r="H11" s="86" t="s">
        <v>89</v>
      </c>
      <c r="I11" s="86"/>
      <c r="J11" s="87" t="s">
        <v>91</v>
      </c>
      <c r="K11" s="85" t="s">
        <v>87</v>
      </c>
      <c r="L11" s="86" t="s">
        <v>86</v>
      </c>
      <c r="M11" s="86" t="s">
        <v>87</v>
      </c>
      <c r="N11" s="86" t="s">
        <v>86</v>
      </c>
      <c r="O11" s="87" t="s">
        <v>91</v>
      </c>
      <c r="Q11" s="43"/>
      <c r="R11" s="43"/>
      <c r="S11" s="44"/>
      <c r="T11" s="44"/>
    </row>
    <row r="12" spans="1:247" s="42" customFormat="1" ht="10.5" x14ac:dyDescent="0.25">
      <c r="A12" s="2">
        <v>12</v>
      </c>
      <c r="B12" s="260"/>
      <c r="C12" s="250"/>
      <c r="D12" s="85" t="s">
        <v>85</v>
      </c>
      <c r="E12" s="249"/>
      <c r="F12" s="249" t="s">
        <v>20</v>
      </c>
      <c r="G12" s="249"/>
      <c r="H12" s="249"/>
      <c r="I12" s="249"/>
      <c r="J12" s="250" t="s">
        <v>92</v>
      </c>
      <c r="K12" s="251" t="s">
        <v>93</v>
      </c>
      <c r="L12" s="249" t="s">
        <v>94</v>
      </c>
      <c r="M12" s="249" t="s">
        <v>95</v>
      </c>
      <c r="N12" s="249" t="s">
        <v>96</v>
      </c>
      <c r="O12" s="250" t="s">
        <v>97</v>
      </c>
      <c r="Q12" s="43"/>
      <c r="R12" s="43"/>
      <c r="S12" s="44"/>
      <c r="T12" s="44"/>
    </row>
    <row r="13" spans="1:247" s="2" customFormat="1" ht="18" customHeight="1" x14ac:dyDescent="0.25">
      <c r="A13" s="2">
        <v>13</v>
      </c>
      <c r="B13" s="405" t="s">
        <v>519</v>
      </c>
      <c r="C13" s="45">
        <f>'D1. Member Months'!C10</f>
        <v>35763</v>
      </c>
      <c r="D13" s="409">
        <v>16052540</v>
      </c>
      <c r="E13" s="410"/>
      <c r="F13" s="46">
        <f>SUM(D13:E13)</f>
        <v>16052540</v>
      </c>
      <c r="G13" s="410"/>
      <c r="H13" s="410"/>
      <c r="I13" s="410">
        <v>296359.86</v>
      </c>
      <c r="J13" s="48">
        <f>SUM(F13:I13)</f>
        <v>16348899.859999999</v>
      </c>
      <c r="K13" s="193">
        <f t="shared" ref="K13:O16" si="0">F13/$C13</f>
        <v>448.85887649246428</v>
      </c>
      <c r="L13" s="49">
        <f t="shared" si="0"/>
        <v>0</v>
      </c>
      <c r="M13" s="49">
        <f t="shared" si="0"/>
        <v>0</v>
      </c>
      <c r="N13" s="49">
        <f t="shared" si="0"/>
        <v>8.2867729217347534</v>
      </c>
      <c r="O13" s="50">
        <f t="shared" si="0"/>
        <v>457.145649414199</v>
      </c>
      <c r="Q13" s="51"/>
      <c r="R13" s="51"/>
      <c r="S13" s="41"/>
      <c r="T13" s="41"/>
    </row>
    <row r="14" spans="1:247" s="2" customFormat="1" ht="18" customHeight="1" x14ac:dyDescent="0.25">
      <c r="A14" s="2">
        <v>14</v>
      </c>
      <c r="B14" s="405" t="s">
        <v>520</v>
      </c>
      <c r="C14" s="45">
        <f>'D1. Member Months'!C11</f>
        <v>116518</v>
      </c>
      <c r="D14" s="409">
        <v>147438539</v>
      </c>
      <c r="E14" s="410"/>
      <c r="F14" s="46">
        <f>SUM(D14:E14)</f>
        <v>147438539</v>
      </c>
      <c r="G14" s="410"/>
      <c r="H14" s="410"/>
      <c r="I14" s="410">
        <v>4337805.96</v>
      </c>
      <c r="J14" s="48">
        <f>SUM(F14:I14)</f>
        <v>151776344.96000001</v>
      </c>
      <c r="K14" s="193">
        <f t="shared" si="0"/>
        <v>1265.3713503493022</v>
      </c>
      <c r="L14" s="49">
        <f t="shared" si="0"/>
        <v>0</v>
      </c>
      <c r="M14" s="49">
        <f t="shared" si="0"/>
        <v>0</v>
      </c>
      <c r="N14" s="49">
        <f t="shared" si="0"/>
        <v>37.228633859146228</v>
      </c>
      <c r="O14" s="50">
        <f t="shared" si="0"/>
        <v>1302.5999842084486</v>
      </c>
      <c r="Q14" s="51"/>
      <c r="R14" s="51"/>
      <c r="S14" s="41"/>
      <c r="T14" s="41"/>
    </row>
    <row r="15" spans="1:247" ht="18" customHeight="1" x14ac:dyDescent="0.25">
      <c r="A15" s="2">
        <v>15</v>
      </c>
      <c r="B15" s="405" t="s">
        <v>521</v>
      </c>
      <c r="C15" s="45">
        <f>'D1. Member Months'!C12</f>
        <v>73249</v>
      </c>
      <c r="D15" s="409">
        <v>227815459</v>
      </c>
      <c r="E15" s="410"/>
      <c r="F15" s="46">
        <f>SUM(D15:E15)</f>
        <v>227815459</v>
      </c>
      <c r="G15" s="410"/>
      <c r="H15" s="410"/>
      <c r="I15" s="410">
        <v>2713352.86</v>
      </c>
      <c r="J15" s="48">
        <f>SUM(F15:I15)</f>
        <v>230528811.86000001</v>
      </c>
      <c r="K15" s="193">
        <f t="shared" si="0"/>
        <v>3110.1511146909857</v>
      </c>
      <c r="L15" s="49">
        <f t="shared" si="0"/>
        <v>0</v>
      </c>
      <c r="M15" s="49">
        <f t="shared" si="0"/>
        <v>0</v>
      </c>
      <c r="N15" s="49">
        <f t="shared" si="0"/>
        <v>37.042865568130622</v>
      </c>
      <c r="O15" s="50">
        <f t="shared" si="0"/>
        <v>3147.1939802591164</v>
      </c>
      <c r="P15" s="52"/>
      <c r="Q15" s="53"/>
      <c r="R15" s="53"/>
      <c r="S15" s="52"/>
      <c r="T15" s="53"/>
    </row>
    <row r="16" spans="1:247" ht="18" customHeight="1" thickBot="1" x14ac:dyDescent="0.3">
      <c r="A16" s="2">
        <v>16</v>
      </c>
      <c r="B16" s="405" t="s">
        <v>546</v>
      </c>
      <c r="C16" s="313">
        <f>'D1. Member Months'!C13</f>
        <v>366434</v>
      </c>
      <c r="D16" s="411">
        <v>115876177</v>
      </c>
      <c r="E16" s="412"/>
      <c r="F16" s="46">
        <f>SUM(D16:E16)</f>
        <v>115876177</v>
      </c>
      <c r="G16" s="412"/>
      <c r="H16" s="412"/>
      <c r="I16" s="412">
        <v>2281103.2599999998</v>
      </c>
      <c r="J16" s="56">
        <f>SUM(F16:I16)</f>
        <v>118157280.26000001</v>
      </c>
      <c r="K16" s="193">
        <f t="shared" si="0"/>
        <v>316.22659742272822</v>
      </c>
      <c r="L16" s="49">
        <f t="shared" ref="L16" si="1">G16/$C16</f>
        <v>0</v>
      </c>
      <c r="M16" s="49">
        <f t="shared" ref="M16" si="2">H16/$C16</f>
        <v>0</v>
      </c>
      <c r="N16" s="49">
        <f t="shared" ref="N16" si="3">I16/$C16</f>
        <v>6.2251408439173215</v>
      </c>
      <c r="O16" s="50">
        <f t="shared" ref="O16" si="4">J16/$C16</f>
        <v>322.45173826664558</v>
      </c>
      <c r="P16" s="52"/>
      <c r="Q16" s="53"/>
      <c r="R16" s="53"/>
      <c r="S16" s="52"/>
      <c r="T16" s="53"/>
    </row>
    <row r="17" spans="1:20" ht="18" customHeight="1" thickTop="1" thickBot="1" x14ac:dyDescent="0.3">
      <c r="A17" s="2">
        <v>17</v>
      </c>
      <c r="B17" s="57" t="s">
        <v>98</v>
      </c>
      <c r="C17" s="284">
        <f>SUM(C13:C16)</f>
        <v>591964</v>
      </c>
      <c r="D17" s="58">
        <f t="shared" ref="D17:J17" si="5">SUM(D13:D16)</f>
        <v>507182715</v>
      </c>
      <c r="E17" s="59">
        <f t="shared" si="5"/>
        <v>0</v>
      </c>
      <c r="F17" s="59">
        <f t="shared" si="5"/>
        <v>507182715</v>
      </c>
      <c r="G17" s="59">
        <f t="shared" si="5"/>
        <v>0</v>
      </c>
      <c r="H17" s="59">
        <f t="shared" si="5"/>
        <v>0</v>
      </c>
      <c r="I17" s="59">
        <f t="shared" si="5"/>
        <v>9628621.9399999995</v>
      </c>
      <c r="J17" s="60">
        <f t="shared" si="5"/>
        <v>516811336.94</v>
      </c>
      <c r="K17" s="194"/>
      <c r="L17" s="61"/>
      <c r="M17" s="61"/>
      <c r="N17" s="61"/>
      <c r="O17" s="195"/>
      <c r="P17" s="52"/>
      <c r="Q17" s="53"/>
      <c r="R17" s="53"/>
      <c r="S17" s="52"/>
      <c r="T17" s="53"/>
    </row>
    <row r="18" spans="1:20" ht="16.5" customHeight="1" thickBot="1" x14ac:dyDescent="0.3">
      <c r="A18" s="2">
        <v>18</v>
      </c>
      <c r="B18" s="330" t="s">
        <v>322</v>
      </c>
      <c r="C18" s="62"/>
      <c r="D18" s="62"/>
      <c r="E18" s="62"/>
      <c r="F18" s="261"/>
      <c r="G18" s="261"/>
      <c r="H18" s="261"/>
      <c r="I18" s="261"/>
      <c r="J18" s="62"/>
      <c r="K18" s="63">
        <f>F17/$C17</f>
        <v>856.77966058746813</v>
      </c>
      <c r="L18" s="63">
        <f>G17/$C17</f>
        <v>0</v>
      </c>
      <c r="M18" s="63">
        <f>H17/$C17</f>
        <v>0</v>
      </c>
      <c r="N18" s="63">
        <f>I17/$C17</f>
        <v>16.265553209316781</v>
      </c>
      <c r="O18" s="63">
        <f>J17/$C17</f>
        <v>873.04521379678499</v>
      </c>
    </row>
    <row r="19" spans="1:20" ht="36" customHeight="1" thickBot="1" x14ac:dyDescent="0.3">
      <c r="A19" s="2">
        <v>19</v>
      </c>
      <c r="B19" s="38"/>
      <c r="C19" s="37"/>
      <c r="D19" s="37"/>
      <c r="E19" s="37"/>
      <c r="F19" s="40"/>
      <c r="G19" s="37"/>
      <c r="I19" s="39"/>
      <c r="J19" s="39"/>
      <c r="K19" s="40"/>
      <c r="L19" s="39"/>
      <c r="M19" s="39"/>
    </row>
    <row r="20" spans="1:20" ht="15" customHeight="1" x14ac:dyDescent="0.25">
      <c r="A20" s="2">
        <v>20</v>
      </c>
      <c r="B20" s="255"/>
      <c r="C20" s="256"/>
      <c r="D20" s="257" t="s">
        <v>248</v>
      </c>
      <c r="E20" s="253"/>
      <c r="F20" s="253"/>
      <c r="G20" s="253"/>
      <c r="H20" s="258"/>
      <c r="I20" s="253"/>
      <c r="J20" s="259"/>
      <c r="K20" s="252" t="s">
        <v>239</v>
      </c>
      <c r="L20" s="253"/>
      <c r="M20" s="253"/>
      <c r="N20" s="253"/>
      <c r="O20" s="259"/>
      <c r="Q20" s="41"/>
      <c r="R20" s="41"/>
      <c r="S20" s="41"/>
      <c r="T20" s="41"/>
    </row>
    <row r="21" spans="1:20" s="42" customFormat="1" ht="10.5" x14ac:dyDescent="0.25">
      <c r="A21" s="2">
        <v>21</v>
      </c>
      <c r="B21" s="168"/>
      <c r="C21" s="87"/>
      <c r="D21" s="81" t="s">
        <v>69</v>
      </c>
      <c r="E21" s="82"/>
      <c r="F21" s="82"/>
      <c r="G21" s="82" t="s">
        <v>195</v>
      </c>
      <c r="H21" s="82" t="s">
        <v>70</v>
      </c>
      <c r="I21" s="82" t="s">
        <v>71</v>
      </c>
      <c r="J21" s="160"/>
      <c r="K21" s="81"/>
      <c r="L21" s="82"/>
      <c r="M21" s="82"/>
      <c r="N21" s="82"/>
      <c r="O21" s="160"/>
      <c r="Q21" s="43"/>
      <c r="R21" s="43"/>
      <c r="S21" s="44"/>
      <c r="T21" s="44"/>
    </row>
    <row r="22" spans="1:20" s="42" customFormat="1" ht="10.5" x14ac:dyDescent="0.25">
      <c r="A22" s="2">
        <v>22</v>
      </c>
      <c r="B22" s="168" t="s">
        <v>72</v>
      </c>
      <c r="C22" s="87" t="s">
        <v>242</v>
      </c>
      <c r="D22" s="247" t="s">
        <v>192</v>
      </c>
      <c r="E22" s="86"/>
      <c r="F22" s="86"/>
      <c r="G22" s="86" t="s">
        <v>86</v>
      </c>
      <c r="H22" s="86" t="s">
        <v>73</v>
      </c>
      <c r="I22" s="86" t="s">
        <v>86</v>
      </c>
      <c r="J22" s="87"/>
      <c r="K22" s="85"/>
      <c r="L22" s="86"/>
      <c r="M22" s="86"/>
      <c r="N22" s="86"/>
      <c r="O22" s="87"/>
      <c r="Q22" s="43"/>
      <c r="R22" s="43"/>
      <c r="S22" s="44"/>
      <c r="T22" s="44"/>
    </row>
    <row r="23" spans="1:20" s="42" customFormat="1" ht="23.25" customHeight="1" x14ac:dyDescent="0.25">
      <c r="A23" s="2">
        <v>23</v>
      </c>
      <c r="B23" s="168" t="s">
        <v>74</v>
      </c>
      <c r="C23" s="87" t="s">
        <v>75</v>
      </c>
      <c r="D23" s="248" t="s">
        <v>193</v>
      </c>
      <c r="E23" s="86" t="s">
        <v>77</v>
      </c>
      <c r="F23" s="86" t="s">
        <v>78</v>
      </c>
      <c r="G23" s="86" t="s">
        <v>210</v>
      </c>
      <c r="H23" s="86" t="s">
        <v>79</v>
      </c>
      <c r="I23" s="86" t="s">
        <v>194</v>
      </c>
      <c r="J23" s="87" t="s">
        <v>80</v>
      </c>
      <c r="K23" s="85" t="s">
        <v>26</v>
      </c>
      <c r="L23" s="86" t="s">
        <v>81</v>
      </c>
      <c r="M23" s="86" t="s">
        <v>27</v>
      </c>
      <c r="N23" s="86" t="s">
        <v>82</v>
      </c>
      <c r="O23" s="87" t="s">
        <v>83</v>
      </c>
      <c r="Q23" s="43"/>
      <c r="R23" s="43"/>
      <c r="S23" s="44"/>
      <c r="T23" s="44"/>
    </row>
    <row r="24" spans="1:20" s="42" customFormat="1" ht="11.25" customHeight="1" x14ac:dyDescent="0.25">
      <c r="A24" s="2">
        <v>24</v>
      </c>
      <c r="B24" s="168"/>
      <c r="C24" s="87" t="s">
        <v>84</v>
      </c>
      <c r="D24" s="85" t="s">
        <v>76</v>
      </c>
      <c r="E24" s="86" t="s">
        <v>86</v>
      </c>
      <c r="F24" s="86" t="s">
        <v>87</v>
      </c>
      <c r="G24" s="86" t="s">
        <v>88</v>
      </c>
      <c r="H24" s="86" t="s">
        <v>89</v>
      </c>
      <c r="I24" s="86" t="s">
        <v>90</v>
      </c>
      <c r="J24" s="87" t="s">
        <v>91</v>
      </c>
      <c r="K24" s="85" t="s">
        <v>87</v>
      </c>
      <c r="L24" s="86" t="s">
        <v>86</v>
      </c>
      <c r="M24" s="86" t="s">
        <v>87</v>
      </c>
      <c r="N24" s="86" t="s">
        <v>86</v>
      </c>
      <c r="O24" s="87" t="s">
        <v>91</v>
      </c>
      <c r="Q24" s="43"/>
      <c r="R24" s="43"/>
      <c r="S24" s="44"/>
      <c r="T24" s="44"/>
    </row>
    <row r="25" spans="1:20" s="42" customFormat="1" ht="10.5" x14ac:dyDescent="0.25">
      <c r="A25" s="2">
        <v>25</v>
      </c>
      <c r="B25" s="260"/>
      <c r="C25" s="250"/>
      <c r="D25" s="85" t="s">
        <v>85</v>
      </c>
      <c r="E25" s="249"/>
      <c r="F25" s="249" t="s">
        <v>20</v>
      </c>
      <c r="G25" s="249"/>
      <c r="H25" s="249"/>
      <c r="I25" s="249"/>
      <c r="J25" s="250" t="s">
        <v>92</v>
      </c>
      <c r="K25" s="251" t="s">
        <v>93</v>
      </c>
      <c r="L25" s="249" t="s">
        <v>94</v>
      </c>
      <c r="M25" s="249" t="s">
        <v>95</v>
      </c>
      <c r="N25" s="249" t="s">
        <v>96</v>
      </c>
      <c r="O25" s="250" t="s">
        <v>97</v>
      </c>
      <c r="Q25" s="43"/>
      <c r="R25" s="43"/>
      <c r="S25" s="44"/>
      <c r="T25" s="44"/>
    </row>
    <row r="26" spans="1:20" s="2" customFormat="1" ht="18" customHeight="1" x14ac:dyDescent="0.25">
      <c r="A26" s="2">
        <v>26</v>
      </c>
      <c r="B26" s="405" t="s">
        <v>519</v>
      </c>
      <c r="C26" s="45">
        <f>'D1. Member Months'!D10</f>
        <v>19424</v>
      </c>
      <c r="D26" s="409">
        <v>9312475.6047825944</v>
      </c>
      <c r="E26" s="410"/>
      <c r="F26" s="47">
        <f>D26+E26</f>
        <v>9312475.6047825944</v>
      </c>
      <c r="G26" s="410"/>
      <c r="H26" s="410"/>
      <c r="I26" s="410"/>
      <c r="J26" s="48">
        <f>SUM(F26:I26)</f>
        <v>9312475.6047825944</v>
      </c>
      <c r="K26" s="193">
        <f>F26/$C26</f>
        <v>479.43140469432632</v>
      </c>
      <c r="L26" s="49">
        <f t="shared" ref="L26:O28" si="6">G26/$C26</f>
        <v>0</v>
      </c>
      <c r="M26" s="49">
        <f t="shared" si="6"/>
        <v>0</v>
      </c>
      <c r="N26" s="49">
        <f t="shared" si="6"/>
        <v>0</v>
      </c>
      <c r="O26" s="50">
        <f t="shared" si="6"/>
        <v>479.43140469432632</v>
      </c>
      <c r="Q26" s="51"/>
      <c r="R26" s="51"/>
      <c r="S26" s="41"/>
      <c r="T26" s="41"/>
    </row>
    <row r="27" spans="1:20" s="2" customFormat="1" ht="18" customHeight="1" x14ac:dyDescent="0.25">
      <c r="A27" s="2">
        <v>27</v>
      </c>
      <c r="B27" s="405" t="s">
        <v>520</v>
      </c>
      <c r="C27" s="45">
        <f>'D1. Member Months'!D11</f>
        <v>68089</v>
      </c>
      <c r="D27" s="409">
        <v>94239184.79695718</v>
      </c>
      <c r="E27" s="410"/>
      <c r="F27" s="47">
        <f>D27+E27</f>
        <v>94239184.79695718</v>
      </c>
      <c r="G27" s="410"/>
      <c r="H27" s="410"/>
      <c r="I27" s="410"/>
      <c r="J27" s="48">
        <f>SUM(F27:I27)</f>
        <v>94239184.79695718</v>
      </c>
      <c r="K27" s="193">
        <f>F27/$C27</f>
        <v>1384.0588758383465</v>
      </c>
      <c r="L27" s="49">
        <f t="shared" si="6"/>
        <v>0</v>
      </c>
      <c r="M27" s="49">
        <f t="shared" si="6"/>
        <v>0</v>
      </c>
      <c r="N27" s="49">
        <f t="shared" si="6"/>
        <v>0</v>
      </c>
      <c r="O27" s="50">
        <f t="shared" si="6"/>
        <v>1384.0588758383465</v>
      </c>
      <c r="Q27" s="51"/>
      <c r="R27" s="51"/>
      <c r="S27" s="41"/>
      <c r="T27" s="41"/>
    </row>
    <row r="28" spans="1:20" ht="18" customHeight="1" x14ac:dyDescent="0.25">
      <c r="A28" s="2">
        <v>28</v>
      </c>
      <c r="B28" s="405" t="s">
        <v>521</v>
      </c>
      <c r="C28" s="45">
        <f>'D1. Member Months'!D12</f>
        <v>40023</v>
      </c>
      <c r="D28" s="409">
        <v>136082743.6986959</v>
      </c>
      <c r="E28" s="410"/>
      <c r="F28" s="47">
        <f>D28+E28</f>
        <v>136082743.6986959</v>
      </c>
      <c r="G28" s="410"/>
      <c r="H28" s="410"/>
      <c r="I28" s="410"/>
      <c r="J28" s="48">
        <f>SUM(F28:I28)</f>
        <v>136082743.6986959</v>
      </c>
      <c r="K28" s="193">
        <f>F28/$C28</f>
        <v>3400.1135271892636</v>
      </c>
      <c r="L28" s="49">
        <f t="shared" si="6"/>
        <v>0</v>
      </c>
      <c r="M28" s="49">
        <f t="shared" si="6"/>
        <v>0</v>
      </c>
      <c r="N28" s="49">
        <f t="shared" si="6"/>
        <v>0</v>
      </c>
      <c r="O28" s="50">
        <f t="shared" si="6"/>
        <v>3400.1135271892636</v>
      </c>
      <c r="P28" s="52"/>
      <c r="Q28" s="53"/>
      <c r="R28" s="53"/>
      <c r="S28" s="52"/>
      <c r="T28" s="53"/>
    </row>
    <row r="29" spans="1:20" ht="18" customHeight="1" thickBot="1" x14ac:dyDescent="0.3">
      <c r="A29" s="2">
        <v>29</v>
      </c>
      <c r="B29" s="405" t="s">
        <v>546</v>
      </c>
      <c r="C29" s="313">
        <f>'D1. Member Months'!D13</f>
        <v>219495</v>
      </c>
      <c r="D29" s="411">
        <v>77827114.670869559</v>
      </c>
      <c r="E29" s="412"/>
      <c r="F29" s="55">
        <f>D29+E29</f>
        <v>77827114.670869559</v>
      </c>
      <c r="G29" s="412"/>
      <c r="H29" s="412"/>
      <c r="I29" s="412"/>
      <c r="J29" s="56">
        <f>SUM(F29:I29)</f>
        <v>77827114.670869559</v>
      </c>
      <c r="K29" s="193">
        <f>F29/$C29</f>
        <v>354.5735195374362</v>
      </c>
      <c r="L29" s="49">
        <f t="shared" ref="L29" si="7">G29/$C29</f>
        <v>0</v>
      </c>
      <c r="M29" s="49">
        <f t="shared" ref="M29" si="8">H29/$C29</f>
        <v>0</v>
      </c>
      <c r="N29" s="49">
        <f t="shared" ref="N29" si="9">I29/$C29</f>
        <v>0</v>
      </c>
      <c r="O29" s="50">
        <f t="shared" ref="O29" si="10">J29/$C29</f>
        <v>354.5735195374362</v>
      </c>
      <c r="P29" s="52"/>
      <c r="Q29" s="53"/>
      <c r="R29" s="53"/>
      <c r="S29" s="52"/>
      <c r="T29" s="53"/>
    </row>
    <row r="30" spans="1:20" ht="18" customHeight="1" thickTop="1" thickBot="1" x14ac:dyDescent="0.3">
      <c r="A30" s="2">
        <v>30</v>
      </c>
      <c r="B30" s="57" t="s">
        <v>98</v>
      </c>
      <c r="C30" s="284">
        <f>SUM(C26:C29)</f>
        <v>347031</v>
      </c>
      <c r="D30" s="58">
        <f t="shared" ref="D30:J30" si="11">SUM(D26:D29)</f>
        <v>317461518.7713052</v>
      </c>
      <c r="E30" s="59">
        <f t="shared" si="11"/>
        <v>0</v>
      </c>
      <c r="F30" s="59">
        <f t="shared" si="11"/>
        <v>317461518.7713052</v>
      </c>
      <c r="G30" s="59">
        <f t="shared" si="11"/>
        <v>0</v>
      </c>
      <c r="H30" s="59">
        <f t="shared" si="11"/>
        <v>0</v>
      </c>
      <c r="I30" s="59">
        <f t="shared" si="11"/>
        <v>0</v>
      </c>
      <c r="J30" s="60">
        <f t="shared" si="11"/>
        <v>317461518.7713052</v>
      </c>
      <c r="K30" s="194"/>
      <c r="L30" s="61"/>
      <c r="M30" s="61"/>
      <c r="N30" s="61"/>
      <c r="O30" s="195"/>
      <c r="P30" s="52"/>
      <c r="Q30" s="53"/>
      <c r="R30" s="53"/>
      <c r="S30" s="52"/>
      <c r="T30" s="53"/>
    </row>
    <row r="31" spans="1:20" ht="16.5" customHeight="1" thickBot="1" x14ac:dyDescent="0.3">
      <c r="A31" s="2">
        <v>31</v>
      </c>
      <c r="B31" s="330" t="s">
        <v>323</v>
      </c>
      <c r="C31" s="62"/>
      <c r="D31" s="62"/>
      <c r="E31" s="62"/>
      <c r="F31" s="261"/>
      <c r="G31" s="261"/>
      <c r="H31" s="261"/>
      <c r="I31" s="261"/>
      <c r="J31" s="62"/>
      <c r="K31" s="63">
        <f>F30/$C30</f>
        <v>914.79296884516134</v>
      </c>
      <c r="L31" s="63">
        <f>G30/$C30</f>
        <v>0</v>
      </c>
      <c r="M31" s="63">
        <f>H30/$C30</f>
        <v>0</v>
      </c>
      <c r="N31" s="63">
        <f>I30/$C30</f>
        <v>0</v>
      </c>
      <c r="O31" s="63">
        <f>J30/$C30</f>
        <v>914.79296884516134</v>
      </c>
      <c r="Q31" s="3">
        <f>O31/O18</f>
        <v>1.0478185486715168</v>
      </c>
    </row>
    <row r="32" spans="1:20" x14ac:dyDescent="0.25">
      <c r="C32" s="64"/>
      <c r="D32" s="64"/>
      <c r="E32" s="37"/>
      <c r="F32" s="37"/>
    </row>
    <row r="33" spans="2:15" x14ac:dyDescent="0.25">
      <c r="B33" s="65"/>
      <c r="C33" s="65"/>
      <c r="D33" s="65"/>
      <c r="K33" s="53"/>
      <c r="L33" s="53"/>
      <c r="M33" s="53"/>
      <c r="N33" s="53"/>
      <c r="O33" s="53"/>
    </row>
    <row r="34" spans="2:15" x14ac:dyDescent="0.25">
      <c r="B34" s="403" t="s">
        <v>332</v>
      </c>
    </row>
    <row r="35" spans="2:15" x14ac:dyDescent="0.25">
      <c r="B35" s="413" t="s">
        <v>333</v>
      </c>
    </row>
    <row r="36" spans="2:15" ht="11.25" customHeight="1" x14ac:dyDescent="0.25">
      <c r="D36" s="546" t="s">
        <v>316</v>
      </c>
      <c r="E36" s="547"/>
      <c r="F36" s="547"/>
      <c r="G36" s="547"/>
      <c r="H36" s="547"/>
      <c r="I36" s="547"/>
      <c r="J36" s="547"/>
    </row>
    <row r="37" spans="2:15" x14ac:dyDescent="0.25">
      <c r="D37" s="547"/>
      <c r="E37" s="547"/>
      <c r="F37" s="547"/>
      <c r="G37" s="547"/>
      <c r="H37" s="547"/>
      <c r="I37" s="547"/>
      <c r="J37" s="547"/>
    </row>
    <row r="38" spans="2:15" x14ac:dyDescent="0.25">
      <c r="D38" s="547"/>
      <c r="E38" s="547"/>
      <c r="F38" s="547"/>
      <c r="G38" s="547"/>
      <c r="H38" s="547"/>
      <c r="I38" s="547"/>
      <c r="J38" s="547"/>
    </row>
    <row r="39" spans="2:15" ht="12.5" x14ac:dyDescent="0.25">
      <c r="D39" s="70"/>
      <c r="E39" s="70"/>
      <c r="F39" s="70"/>
      <c r="G39" s="70"/>
      <c r="H39" s="70"/>
      <c r="I39" s="70"/>
      <c r="J39" s="70"/>
    </row>
    <row r="40" spans="2:15" x14ac:dyDescent="0.25">
      <c r="D40" s="546" t="s">
        <v>317</v>
      </c>
      <c r="E40" s="547"/>
      <c r="F40" s="547"/>
      <c r="G40" s="547"/>
      <c r="H40" s="547"/>
      <c r="I40" s="547"/>
      <c r="J40" s="547"/>
    </row>
    <row r="41" spans="2:15" x14ac:dyDescent="0.25">
      <c r="D41" s="547"/>
      <c r="E41" s="547"/>
      <c r="F41" s="547"/>
      <c r="G41" s="547"/>
      <c r="H41" s="547"/>
      <c r="I41" s="547"/>
      <c r="J41" s="547"/>
    </row>
    <row r="42" spans="2:15" ht="11.25" customHeight="1" x14ac:dyDescent="0.25">
      <c r="B42" s="40"/>
      <c r="C42" s="37"/>
      <c r="D42" s="547"/>
      <c r="E42" s="547"/>
      <c r="F42" s="547"/>
      <c r="G42" s="547"/>
      <c r="H42" s="547"/>
      <c r="I42" s="547"/>
      <c r="J42" s="547"/>
    </row>
  </sheetData>
  <sheetProtection algorithmName="SHA-512" hashValue="+5x+dm1deqDDADe94js/EWUYIiuA/rsGKHQ+y0M/ckbJqoKMVlK6BLxvI+solWNf1qhI5KcbLYS4jqcd3Iyd6A==" saltValue="4yhDogDTZRt+cEi/DuJHbA==" spinCount="100000" sheet="1" objects="1" scenarios="1"/>
  <mergeCells count="2">
    <mergeCell ref="D36:J38"/>
    <mergeCell ref="D40:J42"/>
  </mergeCells>
  <phoneticPr fontId="0" type="noConversion"/>
  <printOptions horizontalCentered="1"/>
  <pageMargins left="0.25" right="0.25" top="1.5" bottom="1" header="1" footer="0.5"/>
  <pageSetup scale="63" fitToWidth="2" orientation="landscape" horizontalDpi="300" r:id="rId1"/>
  <headerFooter alignWithMargins="0">
    <oddHeader xml:space="preserve">&amp;L&amp;"Arial,Bold"&amp;12State of &amp;C&amp;"Arial,Bold"&amp;12Appendix &amp;A&amp;R&amp;"Arial,Bold"&amp;12 </oddHeader>
    <oddFooter>&amp;L&amp;8'&amp;A'&amp;C&amp;8Page &amp;P of &amp;N&amp;R&amp;8&amp;F</oddFooter>
  </headerFooter>
  <colBreaks count="1" manualBreakCount="1">
    <brk id="10" max="27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100"/>
  <sheetViews>
    <sheetView showGridLines="0" zoomScaleNormal="100" workbookViewId="0"/>
  </sheetViews>
  <sheetFormatPr defaultColWidth="9.1796875" defaultRowHeight="12.5" x14ac:dyDescent="0.25"/>
  <cols>
    <col min="1" max="1" width="9.1796875" style="4"/>
    <col min="2" max="2" width="43.7265625" style="7" customWidth="1"/>
    <col min="3" max="3" width="17.54296875" style="7" bestFit="1" customWidth="1"/>
    <col min="4" max="4" width="64.26953125" style="7" customWidth="1"/>
    <col min="5" max="10" width="12.7265625" style="7" customWidth="1"/>
    <col min="11" max="16384" width="9.1796875" style="7"/>
  </cols>
  <sheetData>
    <row r="1" spans="1:9" s="4" customFormat="1" ht="30" x14ac:dyDescent="0.25">
      <c r="A1" s="16" t="s">
        <v>0</v>
      </c>
      <c r="B1" s="4" t="s">
        <v>1</v>
      </c>
      <c r="C1" s="4" t="s">
        <v>2</v>
      </c>
      <c r="D1" s="4" t="s">
        <v>3</v>
      </c>
    </row>
    <row r="2" spans="1:9" ht="15" customHeight="1" x14ac:dyDescent="0.25">
      <c r="A2" s="4">
        <v>2</v>
      </c>
      <c r="B2" s="5" t="s">
        <v>205</v>
      </c>
      <c r="C2" s="6"/>
      <c r="D2" s="6"/>
    </row>
    <row r="3" spans="1:9" customFormat="1" ht="15" customHeight="1" x14ac:dyDescent="0.25">
      <c r="A3">
        <v>2</v>
      </c>
      <c r="C3" t="s">
        <v>400</v>
      </c>
      <c r="D3" t="str">
        <f>'D1. Member Months'!G4</f>
        <v>Minnesota</v>
      </c>
    </row>
    <row r="4" spans="1:9" ht="15" customHeight="1" x14ac:dyDescent="0.25">
      <c r="A4" s="4">
        <v>4</v>
      </c>
      <c r="B4" s="66" t="s">
        <v>433</v>
      </c>
      <c r="C4" s="6"/>
      <c r="D4" s="6"/>
    </row>
    <row r="5" spans="1:9" ht="15" customHeight="1" x14ac:dyDescent="0.25">
      <c r="A5" s="4">
        <v>5</v>
      </c>
      <c r="B5" s="5" t="s">
        <v>236</v>
      </c>
      <c r="C5" s="6"/>
      <c r="D5" s="6"/>
    </row>
    <row r="6" spans="1:9" ht="15" customHeight="1" x14ac:dyDescent="0.25">
      <c r="A6" s="4">
        <v>6</v>
      </c>
      <c r="B6" s="5" t="s">
        <v>99</v>
      </c>
      <c r="C6" s="6"/>
      <c r="D6" s="6"/>
    </row>
    <row r="7" spans="1:9" ht="18" customHeight="1" x14ac:dyDescent="0.25">
      <c r="A7" s="4">
        <v>7</v>
      </c>
      <c r="D7" s="67"/>
    </row>
    <row r="8" spans="1:9" ht="18" customHeight="1" x14ac:dyDescent="0.25">
      <c r="A8" s="4">
        <v>8</v>
      </c>
      <c r="B8" s="273" t="s">
        <v>100</v>
      </c>
      <c r="C8" s="273" t="s">
        <v>101</v>
      </c>
      <c r="D8" s="273" t="s">
        <v>102</v>
      </c>
    </row>
    <row r="9" spans="1:9" ht="18" customHeight="1" x14ac:dyDescent="0.25">
      <c r="A9" s="4">
        <v>9</v>
      </c>
      <c r="B9" s="68" t="s">
        <v>103</v>
      </c>
      <c r="C9" s="414"/>
      <c r="D9" s="414"/>
    </row>
    <row r="10" spans="1:9" ht="18" customHeight="1" x14ac:dyDescent="0.25">
      <c r="A10" s="4">
        <v>10</v>
      </c>
      <c r="B10" s="68" t="s">
        <v>104</v>
      </c>
      <c r="C10" s="414"/>
      <c r="D10" s="414"/>
    </row>
    <row r="11" spans="1:9" ht="18" customHeight="1" x14ac:dyDescent="0.25">
      <c r="A11" s="4">
        <v>11</v>
      </c>
      <c r="B11" s="69" t="s">
        <v>105</v>
      </c>
      <c r="C11" s="414"/>
      <c r="D11" s="414"/>
    </row>
    <row r="12" spans="1:9" ht="18" customHeight="1" x14ac:dyDescent="0.25">
      <c r="A12" s="4">
        <v>12</v>
      </c>
      <c r="B12" s="68" t="s">
        <v>106</v>
      </c>
      <c r="C12" s="414"/>
      <c r="D12" s="414"/>
    </row>
    <row r="13" spans="1:9" ht="18" customHeight="1" x14ac:dyDescent="0.25">
      <c r="A13" s="4">
        <v>13</v>
      </c>
      <c r="B13" s="69" t="s">
        <v>107</v>
      </c>
      <c r="C13" s="414"/>
      <c r="D13" s="414"/>
    </row>
    <row r="14" spans="1:9" ht="18" customHeight="1" x14ac:dyDescent="0.25">
      <c r="A14" s="4">
        <v>14</v>
      </c>
      <c r="B14" s="69" t="s">
        <v>108</v>
      </c>
      <c r="C14" s="414"/>
      <c r="D14" s="414"/>
      <c r="E14" s="536" t="s">
        <v>536</v>
      </c>
      <c r="G14" s="7" t="s">
        <v>139</v>
      </c>
    </row>
    <row r="15" spans="1:9" ht="18" customHeight="1" x14ac:dyDescent="0.25">
      <c r="A15" s="4">
        <v>15</v>
      </c>
      <c r="G15" s="7" t="s">
        <v>533</v>
      </c>
      <c r="H15" s="7" t="s">
        <v>534</v>
      </c>
      <c r="I15" s="17" t="s">
        <v>542</v>
      </c>
    </row>
    <row r="16" spans="1:9" ht="18" customHeight="1" x14ac:dyDescent="0.25">
      <c r="B16" s="413" t="s">
        <v>333</v>
      </c>
      <c r="C16" s="22"/>
      <c r="D16" s="22"/>
      <c r="F16" s="7" t="s">
        <v>284</v>
      </c>
      <c r="G16" s="7" t="s">
        <v>243</v>
      </c>
      <c r="H16" s="7" t="s">
        <v>531</v>
      </c>
      <c r="I16" s="539">
        <v>6.1699999999999998E-2</v>
      </c>
    </row>
    <row r="17" spans="2:9" ht="18" customHeight="1" x14ac:dyDescent="0.25">
      <c r="B17" s="22" t="s">
        <v>529</v>
      </c>
      <c r="C17" s="22"/>
      <c r="D17" s="22"/>
      <c r="F17" s="7" t="s">
        <v>532</v>
      </c>
      <c r="G17" s="538" t="s">
        <v>540</v>
      </c>
      <c r="H17" s="7" t="s">
        <v>535</v>
      </c>
      <c r="I17" s="17" t="s">
        <v>543</v>
      </c>
    </row>
    <row r="18" spans="2:9" ht="18" customHeight="1" x14ac:dyDescent="0.25">
      <c r="B18" s="22" t="s">
        <v>530</v>
      </c>
      <c r="C18" s="22"/>
      <c r="D18" s="22"/>
      <c r="E18" s="7" t="s">
        <v>246</v>
      </c>
      <c r="F18" s="7" t="s">
        <v>243</v>
      </c>
      <c r="G18" s="7" t="s">
        <v>541</v>
      </c>
      <c r="H18" s="13" t="s">
        <v>533</v>
      </c>
      <c r="I18" s="17" t="s">
        <v>376</v>
      </c>
    </row>
    <row r="19" spans="2:9" ht="18" customHeight="1" x14ac:dyDescent="0.25">
      <c r="B19" s="22"/>
      <c r="C19" s="22"/>
      <c r="D19" s="22"/>
    </row>
    <row r="20" spans="2:9" ht="15" customHeight="1" x14ac:dyDescent="0.25">
      <c r="D20" s="533" t="s">
        <v>519</v>
      </c>
      <c r="E20" s="534">
        <f>'D3. Actual Waiver Cost'!K13</f>
        <v>448.85887649246428</v>
      </c>
      <c r="F20" s="534">
        <f>'D3. Actual Waiver Cost'!K26</f>
        <v>479.43140469432632</v>
      </c>
      <c r="G20" s="535">
        <f>E20*1.0617</f>
        <v>476.55346917204935</v>
      </c>
      <c r="H20" s="241">
        <f>G20/F20</f>
        <v>0.99399719022555089</v>
      </c>
      <c r="I20" s="241">
        <f>H20*(1+I$16)-1</f>
        <v>5.5326816862467432E-2</v>
      </c>
    </row>
    <row r="21" spans="2:9" ht="15" customHeight="1" x14ac:dyDescent="0.25">
      <c r="D21" s="533" t="s">
        <v>520</v>
      </c>
      <c r="E21" s="534">
        <f>'D3. Actual Waiver Cost'!K14</f>
        <v>1265.3713503493022</v>
      </c>
      <c r="F21" s="534">
        <f>'D3. Actual Waiver Cost'!K27</f>
        <v>1384.0588758383465</v>
      </c>
      <c r="G21" s="535">
        <f t="shared" ref="G21:G22" si="0">E21*1.0617</f>
        <v>1343.4447626658543</v>
      </c>
      <c r="H21" s="241">
        <f t="shared" ref="H21:H22" si="1">G21/F21</f>
        <v>0.97065579081822551</v>
      </c>
      <c r="I21" s="241">
        <f t="shared" ref="I21:I22" si="2">H21*(1+I$16)-1</f>
        <v>3.054525311171008E-2</v>
      </c>
    </row>
    <row r="22" spans="2:9" ht="15" customHeight="1" x14ac:dyDescent="0.25">
      <c r="D22" s="533" t="s">
        <v>521</v>
      </c>
      <c r="E22" s="534">
        <f>'D3. Actual Waiver Cost'!K15</f>
        <v>3110.1511146909857</v>
      </c>
      <c r="F22" s="534">
        <f>'D3. Actual Waiver Cost'!K28</f>
        <v>3400.1135271892636</v>
      </c>
      <c r="G22" s="535">
        <f t="shared" si="0"/>
        <v>3302.0474384674199</v>
      </c>
      <c r="H22" s="241">
        <f t="shared" si="1"/>
        <v>0.97115799577347905</v>
      </c>
      <c r="I22" s="241">
        <f t="shared" si="2"/>
        <v>3.1078444112702774E-2</v>
      </c>
    </row>
    <row r="23" spans="2:9" ht="15" customHeight="1" x14ac:dyDescent="0.25">
      <c r="H23" s="241"/>
    </row>
    <row r="24" spans="2:9" ht="15" customHeight="1" x14ac:dyDescent="0.25"/>
    <row r="25" spans="2:9" ht="15" customHeight="1" x14ac:dyDescent="0.25"/>
    <row r="26" spans="2:9" ht="15" customHeight="1" x14ac:dyDescent="0.25"/>
    <row r="27" spans="2:9" ht="15" customHeight="1" x14ac:dyDescent="0.25"/>
    <row r="28" spans="2:9" ht="15" customHeight="1" x14ac:dyDescent="0.25"/>
    <row r="29" spans="2:9" ht="15" customHeight="1" x14ac:dyDescent="0.25"/>
    <row r="30" spans="2:9" ht="15" customHeight="1" x14ac:dyDescent="0.25"/>
    <row r="31" spans="2:9" ht="15" customHeight="1" x14ac:dyDescent="0.25"/>
    <row r="32" spans="2:9" ht="15" customHeight="1" x14ac:dyDescent="0.25"/>
    <row r="33" ht="15" customHeight="1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  <row r="38" ht="15" customHeight="1" x14ac:dyDescent="0.25"/>
    <row r="39" ht="15" customHeight="1" x14ac:dyDescent="0.25"/>
    <row r="40" ht="15" customHeight="1" x14ac:dyDescent="0.25"/>
    <row r="41" ht="15" customHeight="1" x14ac:dyDescent="0.25"/>
    <row r="42" ht="15" customHeight="1" x14ac:dyDescent="0.25"/>
    <row r="43" ht="15" customHeight="1" x14ac:dyDescent="0.25"/>
    <row r="44" ht="15" customHeight="1" x14ac:dyDescent="0.25"/>
    <row r="45" ht="15" customHeight="1" x14ac:dyDescent="0.25"/>
    <row r="46" ht="15" customHeight="1" x14ac:dyDescent="0.25"/>
    <row r="47" ht="15" customHeight="1" x14ac:dyDescent="0.25"/>
    <row r="48" ht="15" customHeight="1" x14ac:dyDescent="0.25"/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1" ht="15" customHeight="1" x14ac:dyDescent="0.25"/>
    <row r="62" ht="15" customHeight="1" x14ac:dyDescent="0.25"/>
    <row r="63" ht="15" customHeight="1" x14ac:dyDescent="0.25"/>
    <row r="64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  <row r="71" ht="15" customHeight="1" x14ac:dyDescent="0.25"/>
    <row r="72" ht="15" customHeight="1" x14ac:dyDescent="0.25"/>
    <row r="73" ht="15" customHeight="1" x14ac:dyDescent="0.25"/>
    <row r="74" ht="15" customHeight="1" x14ac:dyDescent="0.25"/>
    <row r="75" ht="15" customHeight="1" x14ac:dyDescent="0.25"/>
    <row r="76" ht="15" customHeight="1" x14ac:dyDescent="0.25"/>
    <row r="77" ht="15" customHeight="1" x14ac:dyDescent="0.25"/>
    <row r="78" ht="15" customHeight="1" x14ac:dyDescent="0.25"/>
    <row r="79" ht="15" customHeight="1" x14ac:dyDescent="0.25"/>
    <row r="80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  <row r="93" ht="15" customHeight="1" x14ac:dyDescent="0.25"/>
    <row r="94" ht="15" customHeight="1" x14ac:dyDescent="0.25"/>
    <row r="95" ht="15" customHeight="1" x14ac:dyDescent="0.25"/>
    <row r="96" ht="15" customHeight="1" x14ac:dyDescent="0.25"/>
    <row r="97" ht="15" customHeight="1" x14ac:dyDescent="0.25"/>
    <row r="98" ht="15" customHeight="1" x14ac:dyDescent="0.25"/>
    <row r="99" ht="15" customHeight="1" x14ac:dyDescent="0.25"/>
    <row r="100" ht="15" customHeight="1" x14ac:dyDescent="0.25"/>
  </sheetData>
  <sheetProtection algorithmName="SHA-512" hashValue="mPBtWG30cZlHoAwbLUWUgg5lnB+U++q9bGYmc0pF+IX7VuMuoYe2uNsfzjI7D20xP4lG8SXNuIe3Tdho8Epfrg==" saltValue="eFxv8dWRjN9vm5fhS3Hs7Q==" spinCount="100000" sheet="1" objects="1" scenarios="1"/>
  <phoneticPr fontId="0" type="noConversion"/>
  <printOptions horizontalCentered="1"/>
  <pageMargins left="0.25" right="0.25" top="1.5" bottom="1" header="1" footer="0.5"/>
  <pageSetup orientation="landscape" horizontalDpi="300" r:id="rId1"/>
  <headerFooter alignWithMargins="0">
    <oddHeader xml:space="preserve">&amp;L&amp;"Arial,Bold"&amp;12State of &amp;C&amp;"Arial,Bold"&amp;12Appendix &amp;A&amp;R&amp;"Arial,Bold"&amp;12 </oddHeader>
    <oddFooter>&amp;L&amp;8'&amp;A'&amp;C&amp;8Page &amp;P of &amp;N&amp;R&amp;8&amp;F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H168"/>
  <sheetViews>
    <sheetView showGridLines="0" view="pageBreakPreview" zoomScaleNormal="80" zoomScaleSheetLayoutView="100" workbookViewId="0"/>
  </sheetViews>
  <sheetFormatPr defaultColWidth="9.1796875" defaultRowHeight="10" x14ac:dyDescent="0.25"/>
  <cols>
    <col min="1" max="1" width="6.54296875" style="4" customWidth="1"/>
    <col min="2" max="2" width="43.453125" style="73" bestFit="1" customWidth="1"/>
    <col min="3" max="3" width="14.1796875" style="8" customWidth="1"/>
    <col min="4" max="4" width="15.54296875" style="8" bestFit="1" customWidth="1"/>
    <col min="5" max="5" width="15.26953125" style="8" bestFit="1" customWidth="1"/>
    <col min="6" max="6" width="16.1796875" style="8" bestFit="1" customWidth="1"/>
    <col min="7" max="7" width="17.7265625" style="8" customWidth="1"/>
    <col min="8" max="8" width="17.54296875" style="8" bestFit="1" customWidth="1"/>
    <col min="9" max="9" width="15.26953125" style="8" bestFit="1" customWidth="1"/>
    <col min="10" max="10" width="17.26953125" style="8" customWidth="1"/>
    <col min="11" max="11" width="12.7265625" style="8" bestFit="1" customWidth="1"/>
    <col min="12" max="12" width="15.7265625" style="8" customWidth="1"/>
    <col min="13" max="13" width="12.7265625" style="8" bestFit="1" customWidth="1"/>
    <col min="14" max="14" width="14.54296875" style="8" bestFit="1" customWidth="1"/>
    <col min="15" max="15" width="15.7265625" style="8" customWidth="1"/>
    <col min="16" max="16" width="14.7265625" style="8" customWidth="1"/>
    <col min="17" max="17" width="15.7265625" style="8" customWidth="1"/>
    <col min="18" max="18" width="12.7265625" style="8" bestFit="1" customWidth="1"/>
    <col min="19" max="19" width="15.7265625" style="8" customWidth="1"/>
    <col min="20" max="20" width="14.7265625" style="8" customWidth="1"/>
    <col min="21" max="21" width="15.7265625" style="8" customWidth="1"/>
    <col min="22" max="22" width="12.7265625" style="8" bestFit="1" customWidth="1"/>
    <col min="23" max="23" width="14.81640625" style="8" bestFit="1" customWidth="1"/>
    <col min="24" max="24" width="16.81640625" style="8" bestFit="1" customWidth="1"/>
    <col min="25" max="25" width="15.7265625" style="8" customWidth="1"/>
    <col min="26" max="26" width="12.7265625" style="8" bestFit="1" customWidth="1"/>
    <col min="27" max="27" width="16.81640625" style="8" bestFit="1" customWidth="1"/>
    <col min="28" max="28" width="12.453125" style="8" bestFit="1" customWidth="1"/>
    <col min="29" max="16384" width="9.1796875" style="8"/>
  </cols>
  <sheetData>
    <row r="1" spans="1:242" s="4" customFormat="1" ht="30" x14ac:dyDescent="0.25">
      <c r="A1" s="16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68</v>
      </c>
      <c r="P1" s="4" t="s">
        <v>109</v>
      </c>
      <c r="Q1" s="4" t="s">
        <v>110</v>
      </c>
      <c r="R1" s="4" t="s">
        <v>111</v>
      </c>
      <c r="S1" s="4" t="s">
        <v>112</v>
      </c>
      <c r="T1" s="4" t="s">
        <v>113</v>
      </c>
      <c r="U1" s="4" t="s">
        <v>114</v>
      </c>
      <c r="V1" s="4" t="s">
        <v>115</v>
      </c>
      <c r="W1" s="4" t="s">
        <v>116</v>
      </c>
      <c r="X1" s="4" t="s">
        <v>40</v>
      </c>
      <c r="Y1" s="4" t="s">
        <v>117</v>
      </c>
      <c r="Z1" s="4" t="s">
        <v>118</v>
      </c>
      <c r="AA1" s="4" t="s">
        <v>119</v>
      </c>
      <c r="AB1" s="4" t="s">
        <v>120</v>
      </c>
    </row>
    <row r="2" spans="1:242" s="7" customFormat="1" ht="13" x14ac:dyDescent="0.25">
      <c r="A2" s="4">
        <v>2</v>
      </c>
      <c r="B2" s="5" t="s">
        <v>238</v>
      </c>
      <c r="C2" s="6"/>
      <c r="D2" s="6"/>
      <c r="E2" s="6"/>
      <c r="F2" s="6"/>
      <c r="G2" s="6"/>
      <c r="H2" s="6"/>
      <c r="I2" s="6"/>
      <c r="J2" s="5"/>
      <c r="K2" s="6"/>
      <c r="L2" s="6"/>
      <c r="M2" s="6"/>
      <c r="N2" s="6"/>
      <c r="O2" s="6"/>
      <c r="P2" s="5" t="s">
        <v>121</v>
      </c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</row>
    <row r="3" spans="1:242" customFormat="1" ht="12.5" x14ac:dyDescent="0.25">
      <c r="G3" t="s">
        <v>400</v>
      </c>
      <c r="H3" t="str">
        <f>'D1. Member Months'!G4</f>
        <v>Minnesota</v>
      </c>
      <c r="V3" t="s">
        <v>400</v>
      </c>
      <c r="W3" t="str">
        <f>'D1. Member Months'!G4</f>
        <v>Minnesota</v>
      </c>
    </row>
    <row r="4" spans="1:242" s="7" customFormat="1" ht="13" x14ac:dyDescent="0.25">
      <c r="A4" s="4">
        <v>4</v>
      </c>
      <c r="B4" s="66" t="s">
        <v>122</v>
      </c>
      <c r="C4" s="6"/>
      <c r="D4" s="6"/>
      <c r="E4" s="6"/>
      <c r="F4" s="6"/>
      <c r="G4" s="6"/>
      <c r="H4" s="6"/>
      <c r="I4" s="6"/>
      <c r="J4" s="5"/>
      <c r="K4" s="6"/>
      <c r="L4" s="6"/>
      <c r="M4" s="6"/>
      <c r="N4" s="6"/>
      <c r="O4" s="6"/>
      <c r="P4" s="5" t="s">
        <v>122</v>
      </c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</row>
    <row r="5" spans="1:242" s="7" customFormat="1" ht="13" x14ac:dyDescent="0.25">
      <c r="A5" s="4">
        <v>5</v>
      </c>
      <c r="B5" s="403" t="s">
        <v>332</v>
      </c>
      <c r="C5" s="6"/>
      <c r="D5" s="6"/>
      <c r="E5" s="6"/>
      <c r="F5" s="6"/>
      <c r="G5" s="6"/>
      <c r="H5" s="6"/>
      <c r="I5" s="6"/>
      <c r="J5" s="5"/>
      <c r="K5" s="6"/>
      <c r="L5" s="6"/>
      <c r="M5" s="6"/>
      <c r="N5" s="6"/>
      <c r="O5" s="6"/>
      <c r="P5" s="5" t="s">
        <v>123</v>
      </c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70"/>
      <c r="AD5" s="70"/>
      <c r="AE5" s="70"/>
      <c r="AF5" s="70"/>
      <c r="AG5" s="70"/>
      <c r="AH5" s="70"/>
      <c r="AI5" s="70"/>
      <c r="AJ5" s="70"/>
      <c r="AK5" s="70"/>
      <c r="AL5" s="70"/>
      <c r="AM5" s="70"/>
      <c r="AN5" s="70"/>
      <c r="AO5" s="70"/>
      <c r="AP5" s="70"/>
      <c r="AQ5" s="70"/>
      <c r="AR5" s="70"/>
      <c r="AS5" s="70"/>
      <c r="AT5" s="70"/>
      <c r="AU5" s="70"/>
      <c r="AV5" s="70"/>
      <c r="AW5" s="70"/>
      <c r="AX5" s="70"/>
      <c r="AY5" s="70"/>
      <c r="AZ5" s="70"/>
      <c r="BA5" s="70"/>
      <c r="BB5" s="70"/>
      <c r="BC5" s="70"/>
      <c r="BD5" s="70"/>
      <c r="BE5" s="70"/>
      <c r="BF5" s="70"/>
      <c r="BG5" s="70"/>
      <c r="BH5" s="70"/>
      <c r="BI5" s="70"/>
      <c r="BJ5" s="70"/>
      <c r="BK5" s="70"/>
      <c r="BL5" s="70"/>
      <c r="BM5" s="70"/>
      <c r="BN5" s="70"/>
      <c r="BO5" s="70"/>
      <c r="BP5" s="70"/>
      <c r="BQ5" s="70"/>
      <c r="BR5" s="70"/>
      <c r="BS5" s="70"/>
      <c r="BT5" s="70"/>
      <c r="BU5" s="70"/>
      <c r="BV5" s="70"/>
      <c r="BW5" s="70"/>
      <c r="BX5" s="70"/>
      <c r="BY5" s="70"/>
      <c r="BZ5" s="70"/>
      <c r="CA5" s="70"/>
      <c r="CB5" s="70"/>
      <c r="CC5" s="70"/>
      <c r="CD5" s="70"/>
      <c r="CE5" s="70"/>
      <c r="CF5" s="70"/>
      <c r="CG5" s="70"/>
      <c r="CH5" s="70"/>
      <c r="CI5" s="70"/>
      <c r="CJ5" s="70"/>
      <c r="CK5" s="70"/>
      <c r="CL5" s="70"/>
      <c r="CM5" s="70"/>
      <c r="CN5" s="70"/>
      <c r="CO5" s="70"/>
      <c r="CP5" s="70"/>
      <c r="CQ5" s="70"/>
      <c r="CR5" s="70"/>
      <c r="CS5" s="70"/>
      <c r="CT5" s="70"/>
      <c r="CU5" s="70"/>
      <c r="CV5" s="70"/>
      <c r="CW5" s="70"/>
      <c r="CX5" s="70"/>
      <c r="CY5" s="70"/>
      <c r="CZ5" s="70"/>
      <c r="DA5" s="70"/>
      <c r="DB5" s="70"/>
      <c r="DC5" s="70"/>
      <c r="DD5" s="70"/>
      <c r="DE5" s="70"/>
      <c r="DF5" s="70"/>
      <c r="DG5" s="70"/>
      <c r="DH5" s="70"/>
      <c r="DI5" s="70"/>
      <c r="DJ5" s="70"/>
      <c r="DK5" s="70"/>
      <c r="DL5" s="70"/>
      <c r="DM5" s="70"/>
      <c r="DN5" s="70"/>
      <c r="DO5" s="70"/>
      <c r="DP5" s="70"/>
      <c r="DQ5" s="70"/>
      <c r="DR5" s="70"/>
      <c r="DS5" s="70"/>
      <c r="DT5" s="70"/>
      <c r="DU5" s="70"/>
      <c r="DV5" s="70"/>
      <c r="DW5" s="70"/>
      <c r="DX5" s="70"/>
      <c r="DY5" s="70"/>
      <c r="DZ5" s="70"/>
      <c r="EA5" s="70"/>
      <c r="EB5" s="70"/>
      <c r="EC5" s="70"/>
      <c r="ED5" s="70"/>
      <c r="EE5" s="70"/>
      <c r="EF5" s="70"/>
      <c r="EG5" s="70"/>
      <c r="EH5" s="70"/>
      <c r="EI5" s="70"/>
      <c r="EJ5" s="70"/>
      <c r="EK5" s="70"/>
      <c r="EL5" s="70"/>
      <c r="EM5" s="70"/>
      <c r="EN5" s="70"/>
      <c r="EO5" s="70"/>
      <c r="EP5" s="70"/>
      <c r="EQ5" s="70"/>
      <c r="ER5" s="70"/>
      <c r="ES5" s="70"/>
      <c r="ET5" s="70"/>
      <c r="EU5" s="70"/>
      <c r="EV5" s="70"/>
      <c r="EW5" s="70"/>
      <c r="EX5" s="70"/>
      <c r="EY5" s="70"/>
      <c r="EZ5" s="70"/>
      <c r="FA5" s="70"/>
      <c r="FB5" s="70"/>
      <c r="FC5" s="70"/>
      <c r="FD5" s="70"/>
      <c r="FE5" s="70"/>
      <c r="FF5" s="70"/>
      <c r="FG5" s="70"/>
      <c r="FH5" s="70"/>
      <c r="FI5" s="70"/>
      <c r="FJ5" s="70"/>
      <c r="FK5" s="70"/>
      <c r="FL5" s="70"/>
      <c r="FM5" s="70"/>
      <c r="FN5" s="70"/>
      <c r="FO5" s="70"/>
      <c r="FP5" s="70"/>
      <c r="FQ5" s="70"/>
      <c r="FR5" s="70"/>
      <c r="FS5" s="70"/>
      <c r="FT5" s="70"/>
      <c r="FU5" s="70"/>
      <c r="FV5" s="70"/>
      <c r="FW5" s="70"/>
      <c r="FX5" s="70"/>
      <c r="FY5" s="70"/>
      <c r="FZ5" s="70"/>
      <c r="GA5" s="70"/>
      <c r="GB5" s="70"/>
      <c r="GC5" s="70"/>
      <c r="GD5" s="70"/>
      <c r="GE5" s="70"/>
      <c r="GF5" s="70"/>
      <c r="GG5" s="70"/>
      <c r="GH5" s="70"/>
      <c r="GI5" s="70"/>
      <c r="GJ5" s="70"/>
      <c r="GK5" s="70"/>
      <c r="GL5" s="70"/>
      <c r="GM5" s="70"/>
      <c r="GN5" s="70"/>
      <c r="GO5" s="70"/>
      <c r="GP5" s="70"/>
      <c r="GQ5" s="70"/>
      <c r="GR5" s="70"/>
      <c r="GS5" s="70"/>
      <c r="GT5" s="70"/>
      <c r="GU5" s="70"/>
      <c r="GV5" s="70"/>
      <c r="GW5" s="70"/>
      <c r="GX5" s="70"/>
      <c r="GY5" s="70"/>
      <c r="GZ5" s="70"/>
      <c r="HA5" s="70"/>
      <c r="HB5" s="70"/>
      <c r="HC5" s="70"/>
      <c r="HD5" s="70"/>
      <c r="HE5" s="70"/>
      <c r="HF5" s="70"/>
      <c r="HG5" s="70"/>
      <c r="HH5" s="70"/>
      <c r="HI5" s="70"/>
      <c r="HJ5" s="70"/>
      <c r="HK5" s="70"/>
      <c r="HL5" s="70"/>
      <c r="HM5" s="70"/>
      <c r="HN5" s="70"/>
      <c r="HO5" s="70"/>
      <c r="HP5" s="70"/>
      <c r="HQ5" s="70"/>
      <c r="HR5" s="70"/>
      <c r="HS5" s="70"/>
      <c r="HT5" s="70"/>
      <c r="HU5" s="70"/>
      <c r="HV5" s="70"/>
      <c r="HW5" s="70"/>
      <c r="HX5" s="70"/>
      <c r="HY5" s="70"/>
      <c r="HZ5" s="70"/>
      <c r="IA5" s="70"/>
      <c r="IB5" s="70"/>
      <c r="IC5" s="70"/>
      <c r="ID5" s="70"/>
      <c r="IE5" s="70"/>
      <c r="IF5" s="70"/>
      <c r="IG5" s="70"/>
      <c r="IH5" s="70"/>
    </row>
    <row r="6" spans="1:242" s="7" customFormat="1" ht="12.5" x14ac:dyDescent="0.25">
      <c r="A6" s="4">
        <v>6</v>
      </c>
      <c r="B6" s="413" t="s">
        <v>333</v>
      </c>
      <c r="C6" s="6"/>
      <c r="D6" s="6"/>
      <c r="E6" s="6"/>
      <c r="F6" s="6"/>
      <c r="G6" s="6"/>
      <c r="H6" s="6"/>
      <c r="I6" s="6"/>
      <c r="J6" s="71"/>
      <c r="K6" s="6"/>
      <c r="L6" s="6"/>
      <c r="M6" s="6"/>
      <c r="N6" s="6"/>
      <c r="O6" s="6"/>
      <c r="P6" s="71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70"/>
      <c r="AD6" s="70"/>
      <c r="AE6" s="70"/>
      <c r="AF6" s="70"/>
      <c r="AG6" s="70"/>
      <c r="AH6" s="70"/>
      <c r="AI6" s="70"/>
      <c r="AJ6" s="70"/>
      <c r="AK6" s="70"/>
      <c r="AL6" s="70"/>
      <c r="AM6" s="70"/>
      <c r="AN6" s="70"/>
      <c r="AO6" s="70"/>
      <c r="AP6" s="70"/>
      <c r="AQ6" s="70"/>
      <c r="AR6" s="70"/>
      <c r="AS6" s="70"/>
      <c r="AT6" s="70"/>
      <c r="AU6" s="70"/>
      <c r="AV6" s="70"/>
      <c r="AW6" s="70"/>
      <c r="AX6" s="70"/>
      <c r="AY6" s="70"/>
      <c r="AZ6" s="70"/>
      <c r="BA6" s="70"/>
      <c r="BB6" s="70"/>
      <c r="BC6" s="70"/>
      <c r="BD6" s="70"/>
      <c r="BE6" s="70"/>
      <c r="BF6" s="70"/>
      <c r="BG6" s="70"/>
      <c r="BH6" s="70"/>
      <c r="BI6" s="70"/>
      <c r="BJ6" s="70"/>
      <c r="BK6" s="70"/>
      <c r="BL6" s="70"/>
      <c r="BM6" s="70"/>
      <c r="BN6" s="70"/>
      <c r="BO6" s="70"/>
      <c r="BP6" s="70"/>
      <c r="BQ6" s="70"/>
      <c r="BR6" s="70"/>
      <c r="BS6" s="70"/>
      <c r="BT6" s="70"/>
      <c r="BU6" s="70"/>
      <c r="BV6" s="70"/>
      <c r="BW6" s="70"/>
      <c r="BX6" s="70"/>
      <c r="BY6" s="70"/>
      <c r="BZ6" s="70"/>
      <c r="CA6" s="70"/>
      <c r="CB6" s="70"/>
      <c r="CC6" s="70"/>
      <c r="CD6" s="70"/>
      <c r="CE6" s="70"/>
      <c r="CF6" s="70"/>
      <c r="CG6" s="70"/>
      <c r="CH6" s="70"/>
      <c r="CI6" s="70"/>
      <c r="CJ6" s="70"/>
      <c r="CK6" s="70"/>
      <c r="CL6" s="70"/>
      <c r="CM6" s="70"/>
      <c r="CN6" s="70"/>
      <c r="CO6" s="70"/>
      <c r="CP6" s="70"/>
      <c r="CQ6" s="70"/>
      <c r="CR6" s="70"/>
      <c r="CS6" s="70"/>
      <c r="CT6" s="70"/>
      <c r="CU6" s="70"/>
      <c r="CV6" s="70"/>
      <c r="CW6" s="70"/>
      <c r="CX6" s="70"/>
      <c r="CY6" s="70"/>
      <c r="CZ6" s="70"/>
      <c r="DA6" s="70"/>
      <c r="DB6" s="70"/>
      <c r="DC6" s="70"/>
      <c r="DD6" s="70"/>
      <c r="DE6" s="70"/>
      <c r="DF6" s="70"/>
      <c r="DG6" s="70"/>
      <c r="DH6" s="70"/>
      <c r="DI6" s="70"/>
      <c r="DJ6" s="70"/>
      <c r="DK6" s="70"/>
      <c r="DL6" s="70"/>
      <c r="DM6" s="70"/>
      <c r="DN6" s="70"/>
      <c r="DO6" s="70"/>
      <c r="DP6" s="70"/>
      <c r="DQ6" s="70"/>
      <c r="DR6" s="70"/>
      <c r="DS6" s="70"/>
      <c r="DT6" s="70"/>
      <c r="DU6" s="70"/>
      <c r="DV6" s="70"/>
      <c r="DW6" s="70"/>
      <c r="DX6" s="70"/>
      <c r="DY6" s="70"/>
      <c r="DZ6" s="70"/>
      <c r="EA6" s="70"/>
      <c r="EB6" s="70"/>
      <c r="EC6" s="70"/>
      <c r="ED6" s="70"/>
      <c r="EE6" s="70"/>
      <c r="EF6" s="70"/>
      <c r="EG6" s="70"/>
      <c r="EH6" s="70"/>
      <c r="EI6" s="70"/>
      <c r="EJ6" s="70"/>
      <c r="EK6" s="70"/>
      <c r="EL6" s="70"/>
      <c r="EM6" s="70"/>
      <c r="EN6" s="70"/>
      <c r="EO6" s="70"/>
      <c r="EP6" s="70"/>
      <c r="EQ6" s="70"/>
      <c r="ER6" s="70"/>
      <c r="ES6" s="70"/>
      <c r="ET6" s="70"/>
      <c r="EU6" s="70"/>
      <c r="EV6" s="70"/>
      <c r="EW6" s="70"/>
      <c r="EX6" s="70"/>
      <c r="EY6" s="70"/>
      <c r="EZ6" s="70"/>
      <c r="FA6" s="70"/>
      <c r="FB6" s="70"/>
      <c r="FC6" s="70"/>
      <c r="FD6" s="70"/>
      <c r="FE6" s="70"/>
      <c r="FF6" s="70"/>
      <c r="FG6" s="70"/>
      <c r="FH6" s="70"/>
      <c r="FI6" s="70"/>
      <c r="FJ6" s="70"/>
      <c r="FK6" s="70"/>
      <c r="FL6" s="70"/>
      <c r="FM6" s="70"/>
      <c r="FN6" s="70"/>
      <c r="FO6" s="70"/>
      <c r="FP6" s="70"/>
      <c r="FQ6" s="70"/>
      <c r="FR6" s="70"/>
      <c r="FS6" s="70"/>
      <c r="FT6" s="70"/>
      <c r="FU6" s="70"/>
      <c r="FV6" s="70"/>
      <c r="FW6" s="70"/>
      <c r="FX6" s="70"/>
      <c r="FY6" s="70"/>
      <c r="FZ6" s="70"/>
      <c r="GA6" s="70"/>
      <c r="GB6" s="70"/>
      <c r="GC6" s="70"/>
      <c r="GD6" s="70"/>
      <c r="GE6" s="70"/>
      <c r="GF6" s="70"/>
      <c r="GG6" s="70"/>
      <c r="GH6" s="70"/>
      <c r="GI6" s="70"/>
      <c r="GJ6" s="70"/>
      <c r="GK6" s="70"/>
      <c r="GL6" s="70"/>
      <c r="GM6" s="70"/>
      <c r="GN6" s="70"/>
      <c r="GO6" s="70"/>
      <c r="GP6" s="70"/>
      <c r="GQ6" s="70"/>
      <c r="GR6" s="70"/>
      <c r="GS6" s="70"/>
      <c r="GT6" s="70"/>
      <c r="GU6" s="70"/>
      <c r="GV6" s="70"/>
      <c r="GW6" s="70"/>
      <c r="GX6" s="70"/>
      <c r="GY6" s="70"/>
      <c r="GZ6" s="70"/>
      <c r="HA6" s="70"/>
      <c r="HB6" s="70"/>
      <c r="HC6" s="70"/>
      <c r="HD6" s="70"/>
      <c r="HE6" s="70"/>
      <c r="HF6" s="70"/>
      <c r="HG6" s="70"/>
      <c r="HH6" s="70"/>
      <c r="HI6" s="70"/>
      <c r="HJ6" s="70"/>
      <c r="HK6" s="70"/>
      <c r="HL6" s="70"/>
      <c r="HM6" s="70"/>
      <c r="HN6" s="70"/>
      <c r="HO6" s="70"/>
      <c r="HP6" s="70"/>
      <c r="HQ6" s="70"/>
      <c r="HR6" s="70"/>
      <c r="HS6" s="70"/>
      <c r="HT6" s="70"/>
      <c r="HU6" s="70"/>
      <c r="HV6" s="70"/>
      <c r="HW6" s="70"/>
      <c r="HX6" s="70"/>
      <c r="HY6" s="70"/>
      <c r="HZ6" s="70"/>
      <c r="IA6" s="70"/>
      <c r="IB6" s="70"/>
      <c r="IC6" s="70"/>
      <c r="ID6" s="70"/>
      <c r="IE6" s="70"/>
      <c r="IF6" s="70"/>
      <c r="IG6" s="70"/>
      <c r="IH6" s="70"/>
    </row>
    <row r="7" spans="1:242" ht="18" customHeight="1" thickBot="1" x14ac:dyDescent="0.3">
      <c r="A7" s="4">
        <v>7</v>
      </c>
      <c r="B7" s="38"/>
      <c r="C7" s="72"/>
      <c r="D7" s="72"/>
      <c r="E7" s="72"/>
      <c r="F7" s="72"/>
      <c r="G7" s="72"/>
      <c r="H7" s="72"/>
      <c r="I7" s="72"/>
      <c r="J7" s="73"/>
      <c r="K7" s="73"/>
      <c r="L7" s="73"/>
      <c r="M7" s="73"/>
      <c r="N7" s="73"/>
      <c r="O7" s="73"/>
      <c r="P7" s="72"/>
      <c r="Q7" s="73"/>
      <c r="R7" s="73"/>
      <c r="S7" s="73"/>
      <c r="T7" s="72"/>
      <c r="U7" s="73"/>
      <c r="V7" s="73"/>
      <c r="W7" s="73"/>
      <c r="X7" s="72"/>
      <c r="Y7" s="73"/>
      <c r="Z7" s="73"/>
      <c r="AA7" s="73"/>
      <c r="AB7" s="73"/>
      <c r="AC7" s="73"/>
      <c r="AD7" s="73"/>
      <c r="AE7" s="73"/>
      <c r="AF7" s="73"/>
      <c r="AG7" s="73"/>
      <c r="AH7" s="73"/>
      <c r="AI7" s="73"/>
      <c r="AJ7" s="73"/>
      <c r="AK7" s="73"/>
      <c r="AL7" s="73"/>
      <c r="AM7" s="73"/>
      <c r="AN7" s="73"/>
      <c r="AO7" s="73"/>
      <c r="AP7" s="73"/>
      <c r="AQ7" s="73"/>
      <c r="AR7" s="73"/>
      <c r="AS7" s="73"/>
      <c r="AT7" s="73"/>
      <c r="AU7" s="73"/>
      <c r="AV7" s="73"/>
      <c r="AW7" s="73"/>
      <c r="AX7" s="73"/>
      <c r="AY7" s="73"/>
      <c r="AZ7" s="73"/>
      <c r="BA7" s="73"/>
      <c r="BB7" s="73"/>
      <c r="BC7" s="73"/>
      <c r="BD7" s="73"/>
      <c r="BE7" s="73"/>
      <c r="BF7" s="73"/>
      <c r="BG7" s="73"/>
      <c r="BH7" s="73"/>
      <c r="BI7" s="73"/>
      <c r="BJ7" s="73"/>
      <c r="BK7" s="73"/>
      <c r="BL7" s="73"/>
      <c r="BM7" s="73"/>
      <c r="BN7" s="73"/>
      <c r="BO7" s="73"/>
      <c r="BP7" s="73"/>
      <c r="BQ7" s="73"/>
      <c r="BR7" s="73"/>
      <c r="BS7" s="73"/>
      <c r="BT7" s="73"/>
      <c r="BU7" s="73"/>
      <c r="BV7" s="73"/>
      <c r="BW7" s="73"/>
      <c r="BX7" s="73"/>
      <c r="BY7" s="73"/>
      <c r="BZ7" s="73"/>
      <c r="CA7" s="73"/>
      <c r="CB7" s="73"/>
      <c r="CC7" s="73"/>
      <c r="CD7" s="73"/>
      <c r="CE7" s="73"/>
      <c r="CF7" s="73"/>
      <c r="CG7" s="73"/>
      <c r="CH7" s="73"/>
      <c r="CI7" s="73"/>
      <c r="CJ7" s="73"/>
      <c r="CK7" s="73"/>
      <c r="CL7" s="73"/>
      <c r="CM7" s="73"/>
      <c r="CN7" s="73"/>
      <c r="CO7" s="73"/>
      <c r="CP7" s="73"/>
      <c r="CQ7" s="73"/>
      <c r="CR7" s="73"/>
      <c r="CS7" s="73"/>
      <c r="CT7" s="73"/>
      <c r="CU7" s="73"/>
      <c r="CV7" s="73"/>
      <c r="CW7" s="73"/>
      <c r="CX7" s="73"/>
      <c r="CY7" s="73"/>
      <c r="CZ7" s="73"/>
      <c r="DA7" s="73"/>
      <c r="DB7" s="73"/>
      <c r="DC7" s="73"/>
      <c r="DD7" s="73"/>
      <c r="DE7" s="73"/>
      <c r="DF7" s="73"/>
      <c r="DG7" s="73"/>
      <c r="DH7" s="73"/>
      <c r="DI7" s="73"/>
      <c r="DJ7" s="73"/>
      <c r="DK7" s="73"/>
      <c r="DL7" s="73"/>
      <c r="DM7" s="73"/>
      <c r="DN7" s="73"/>
      <c r="DO7" s="73"/>
      <c r="DP7" s="73"/>
      <c r="DQ7" s="73"/>
      <c r="DR7" s="73"/>
      <c r="DS7" s="73"/>
      <c r="DT7" s="73"/>
      <c r="DU7" s="73"/>
      <c r="DV7" s="73"/>
      <c r="DW7" s="73"/>
      <c r="DX7" s="73"/>
      <c r="DY7" s="73"/>
      <c r="DZ7" s="73"/>
      <c r="EA7" s="73"/>
      <c r="EB7" s="73"/>
      <c r="EC7" s="73"/>
      <c r="ED7" s="73"/>
      <c r="EE7" s="73"/>
      <c r="EF7" s="73"/>
      <c r="EG7" s="73"/>
      <c r="EH7" s="73"/>
      <c r="EI7" s="73"/>
      <c r="EJ7" s="73"/>
      <c r="EK7" s="73"/>
      <c r="EL7" s="73"/>
      <c r="EM7" s="73"/>
      <c r="EN7" s="73"/>
      <c r="EO7" s="73"/>
      <c r="EP7" s="73"/>
      <c r="EQ7" s="73"/>
      <c r="ER7" s="73"/>
      <c r="ES7" s="73"/>
      <c r="ET7" s="73"/>
      <c r="EU7" s="73"/>
      <c r="EV7" s="73"/>
      <c r="EW7" s="73"/>
      <c r="EX7" s="73"/>
      <c r="EY7" s="73"/>
      <c r="EZ7" s="73"/>
      <c r="FA7" s="73"/>
      <c r="FB7" s="73"/>
      <c r="FC7" s="73"/>
      <c r="FD7" s="73"/>
      <c r="FE7" s="73"/>
      <c r="FF7" s="73"/>
      <c r="FG7" s="73"/>
      <c r="FH7" s="73"/>
      <c r="FI7" s="73"/>
      <c r="FJ7" s="73"/>
      <c r="FK7" s="73"/>
      <c r="FL7" s="73"/>
      <c r="FM7" s="73"/>
      <c r="FN7" s="73"/>
      <c r="FO7" s="73"/>
      <c r="FP7" s="73"/>
      <c r="FQ7" s="73"/>
      <c r="FR7" s="73"/>
      <c r="FS7" s="73"/>
      <c r="FT7" s="73"/>
      <c r="FU7" s="73"/>
      <c r="FV7" s="73"/>
      <c r="FW7" s="73"/>
      <c r="FX7" s="73"/>
      <c r="FY7" s="73"/>
      <c r="FZ7" s="73"/>
      <c r="GA7" s="73"/>
      <c r="GB7" s="73"/>
      <c r="GC7" s="73"/>
      <c r="GD7" s="73"/>
      <c r="GE7" s="73"/>
      <c r="GF7" s="73"/>
      <c r="GG7" s="73"/>
      <c r="GH7" s="73"/>
      <c r="GI7" s="73"/>
      <c r="GJ7" s="73"/>
      <c r="GK7" s="73"/>
      <c r="GL7" s="73"/>
      <c r="GM7" s="73"/>
      <c r="GN7" s="73"/>
      <c r="GO7" s="73"/>
      <c r="GP7" s="73"/>
      <c r="GQ7" s="73"/>
      <c r="GR7" s="73"/>
      <c r="GS7" s="73"/>
      <c r="GT7" s="73"/>
      <c r="GU7" s="73"/>
      <c r="GV7" s="73"/>
      <c r="GW7" s="73"/>
      <c r="GX7" s="73"/>
      <c r="GY7" s="73"/>
      <c r="GZ7" s="73"/>
      <c r="HA7" s="73"/>
      <c r="HB7" s="73"/>
      <c r="HC7" s="73"/>
      <c r="HD7" s="73"/>
      <c r="HE7" s="73"/>
      <c r="HF7" s="73"/>
      <c r="HG7" s="73"/>
      <c r="HH7" s="73"/>
      <c r="HI7" s="73"/>
      <c r="HJ7" s="73"/>
      <c r="HK7" s="73"/>
      <c r="HL7" s="73"/>
      <c r="HM7" s="73"/>
      <c r="HN7" s="73"/>
      <c r="HO7" s="73"/>
      <c r="HP7" s="73"/>
      <c r="HQ7" s="73"/>
      <c r="HR7" s="73"/>
      <c r="HS7" s="73"/>
      <c r="HT7" s="73"/>
      <c r="HU7" s="73"/>
      <c r="HV7" s="73"/>
      <c r="HW7" s="73"/>
      <c r="HX7" s="73"/>
      <c r="HY7" s="73"/>
      <c r="HZ7" s="73"/>
      <c r="IA7" s="73"/>
      <c r="IB7" s="73"/>
      <c r="IC7" s="73"/>
      <c r="ID7" s="73"/>
      <c r="IE7" s="73"/>
      <c r="IF7" s="73"/>
      <c r="IG7" s="73"/>
      <c r="IH7" s="73"/>
    </row>
    <row r="8" spans="1:242" s="80" customFormat="1" ht="18" customHeight="1" x14ac:dyDescent="0.25">
      <c r="A8" s="4">
        <v>8</v>
      </c>
      <c r="B8" s="166"/>
      <c r="C8" s="167"/>
      <c r="D8" s="74" t="s">
        <v>239</v>
      </c>
      <c r="E8" s="74"/>
      <c r="F8" s="74"/>
      <c r="G8" s="74"/>
      <c r="H8" s="75"/>
      <c r="I8" s="76" t="s">
        <v>221</v>
      </c>
      <c r="J8" s="76"/>
      <c r="K8" s="76"/>
      <c r="L8" s="76"/>
      <c r="M8" s="76"/>
      <c r="N8" s="76"/>
      <c r="O8" s="154"/>
      <c r="P8" s="76" t="s">
        <v>223</v>
      </c>
      <c r="Q8" s="76"/>
      <c r="R8" s="77"/>
      <c r="S8" s="78"/>
      <c r="T8" s="76" t="s">
        <v>225</v>
      </c>
      <c r="U8" s="76"/>
      <c r="V8" s="77"/>
      <c r="W8" s="78"/>
      <c r="X8" s="76" t="s">
        <v>227</v>
      </c>
      <c r="Y8" s="76"/>
      <c r="Z8" s="77"/>
      <c r="AA8" s="78"/>
      <c r="AB8" s="185"/>
      <c r="AC8" s="79"/>
      <c r="AD8" s="79"/>
      <c r="AE8" s="79"/>
      <c r="AF8" s="79"/>
      <c r="AG8" s="79"/>
      <c r="AH8" s="79"/>
      <c r="AI8" s="79"/>
      <c r="AJ8" s="79"/>
      <c r="AK8" s="79"/>
      <c r="AL8" s="79"/>
      <c r="AM8" s="79"/>
      <c r="AN8" s="79"/>
      <c r="AO8" s="79"/>
      <c r="AP8" s="79"/>
      <c r="AQ8" s="79"/>
      <c r="AR8" s="79"/>
      <c r="AS8" s="79"/>
      <c r="AT8" s="79"/>
      <c r="AU8" s="79"/>
      <c r="AV8" s="79"/>
      <c r="AW8" s="79"/>
      <c r="AX8" s="79"/>
      <c r="AY8" s="79"/>
      <c r="AZ8" s="79"/>
      <c r="BA8" s="79"/>
      <c r="BB8" s="79"/>
      <c r="BC8" s="79"/>
      <c r="BD8" s="79"/>
      <c r="BE8" s="79"/>
      <c r="BF8" s="79"/>
      <c r="BG8" s="79"/>
      <c r="BH8" s="79"/>
      <c r="BI8" s="79"/>
      <c r="BJ8" s="79"/>
      <c r="BK8" s="79"/>
      <c r="BL8" s="79"/>
      <c r="BM8" s="79"/>
      <c r="BN8" s="79"/>
      <c r="BO8" s="79"/>
      <c r="BP8" s="79"/>
      <c r="BQ8" s="79"/>
      <c r="BR8" s="79"/>
      <c r="BS8" s="79"/>
      <c r="BT8" s="79"/>
      <c r="BU8" s="79"/>
      <c r="BV8" s="79"/>
      <c r="BW8" s="79"/>
      <c r="BX8" s="79"/>
      <c r="BY8" s="79"/>
      <c r="BZ8" s="79"/>
      <c r="CA8" s="79"/>
      <c r="CB8" s="79"/>
      <c r="CC8" s="79"/>
      <c r="CD8" s="79"/>
      <c r="CE8" s="79"/>
      <c r="CF8" s="79"/>
      <c r="CG8" s="79"/>
      <c r="CH8" s="79"/>
      <c r="CI8" s="79"/>
      <c r="CJ8" s="79"/>
      <c r="CK8" s="79"/>
      <c r="CL8" s="79"/>
      <c r="CM8" s="79"/>
      <c r="CN8" s="79"/>
      <c r="CO8" s="79"/>
      <c r="CP8" s="79"/>
      <c r="CQ8" s="79"/>
      <c r="CR8" s="79"/>
      <c r="CS8" s="79"/>
      <c r="CT8" s="79"/>
      <c r="CU8" s="79"/>
      <c r="CV8" s="79"/>
      <c r="CW8" s="79"/>
      <c r="CX8" s="79"/>
      <c r="CY8" s="79"/>
      <c r="CZ8" s="79"/>
      <c r="DA8" s="79"/>
      <c r="DB8" s="79"/>
      <c r="DC8" s="79"/>
      <c r="DD8" s="79"/>
      <c r="DE8" s="79"/>
      <c r="DF8" s="79"/>
      <c r="DG8" s="79"/>
      <c r="DH8" s="79"/>
      <c r="DI8" s="79"/>
      <c r="DJ8" s="79"/>
      <c r="DK8" s="79"/>
      <c r="DL8" s="79"/>
      <c r="DM8" s="79"/>
      <c r="DN8" s="79"/>
      <c r="DO8" s="79"/>
      <c r="DP8" s="79"/>
      <c r="DQ8" s="79"/>
      <c r="DR8" s="79"/>
      <c r="DS8" s="79"/>
      <c r="DT8" s="79"/>
      <c r="DU8" s="79"/>
      <c r="DV8" s="79"/>
      <c r="DW8" s="79"/>
      <c r="DX8" s="79"/>
      <c r="DY8" s="79"/>
      <c r="DZ8" s="79"/>
      <c r="EA8" s="79"/>
      <c r="EB8" s="79"/>
      <c r="EC8" s="79"/>
      <c r="ED8" s="79"/>
      <c r="EE8" s="79"/>
      <c r="EF8" s="79"/>
      <c r="EG8" s="79"/>
      <c r="EH8" s="79"/>
      <c r="EI8" s="79"/>
      <c r="EJ8" s="79"/>
      <c r="EK8" s="79"/>
      <c r="EL8" s="79"/>
      <c r="EM8" s="79"/>
      <c r="EN8" s="79"/>
      <c r="EO8" s="79"/>
      <c r="EP8" s="79"/>
      <c r="EQ8" s="79"/>
      <c r="ER8" s="79"/>
      <c r="ES8" s="79"/>
      <c r="ET8" s="79"/>
      <c r="EU8" s="79"/>
      <c r="EV8" s="79"/>
      <c r="EW8" s="79"/>
      <c r="EX8" s="79"/>
      <c r="EY8" s="79"/>
      <c r="EZ8" s="79"/>
      <c r="FA8" s="79"/>
      <c r="FB8" s="79"/>
      <c r="FC8" s="79"/>
      <c r="FD8" s="79"/>
      <c r="FE8" s="79"/>
      <c r="FF8" s="79"/>
      <c r="FG8" s="79"/>
      <c r="FH8" s="79"/>
      <c r="FI8" s="79"/>
      <c r="FJ8" s="79"/>
      <c r="FK8" s="79"/>
      <c r="FL8" s="79"/>
      <c r="FM8" s="79"/>
      <c r="FN8" s="79"/>
      <c r="FO8" s="79"/>
      <c r="FP8" s="79"/>
      <c r="FQ8" s="79"/>
      <c r="FR8" s="79"/>
      <c r="FS8" s="79"/>
      <c r="FT8" s="79"/>
      <c r="FU8" s="79"/>
      <c r="FV8" s="79"/>
      <c r="FW8" s="79"/>
      <c r="FX8" s="79"/>
      <c r="FY8" s="79"/>
      <c r="FZ8" s="79"/>
      <c r="GA8" s="79"/>
      <c r="GB8" s="79"/>
      <c r="GC8" s="79"/>
      <c r="GD8" s="79"/>
      <c r="GE8" s="79"/>
      <c r="GF8" s="79"/>
      <c r="GG8" s="79"/>
      <c r="GH8" s="79"/>
      <c r="GI8" s="79"/>
      <c r="GJ8" s="79"/>
      <c r="GK8" s="79"/>
      <c r="GL8" s="79"/>
      <c r="GM8" s="79"/>
      <c r="GN8" s="79"/>
      <c r="GO8" s="79"/>
      <c r="GP8" s="79"/>
      <c r="GQ8" s="79"/>
      <c r="GR8" s="79"/>
      <c r="GS8" s="79"/>
      <c r="GT8" s="79"/>
      <c r="GU8" s="79"/>
      <c r="GV8" s="79"/>
      <c r="GW8" s="79"/>
      <c r="GX8" s="79"/>
      <c r="GY8" s="79"/>
      <c r="GZ8" s="79"/>
      <c r="HA8" s="79"/>
      <c r="HB8" s="79"/>
      <c r="HC8" s="79"/>
      <c r="HD8" s="79"/>
      <c r="HE8" s="79"/>
      <c r="HF8" s="79"/>
      <c r="HG8" s="79"/>
      <c r="HH8" s="79"/>
      <c r="HI8" s="79"/>
      <c r="HJ8" s="79"/>
      <c r="HK8" s="79"/>
      <c r="HL8" s="79"/>
      <c r="HM8" s="79"/>
      <c r="HN8" s="79"/>
      <c r="HO8" s="79"/>
      <c r="HP8" s="79"/>
      <c r="HQ8" s="79"/>
      <c r="HR8" s="79"/>
      <c r="HS8" s="79"/>
      <c r="HT8" s="79"/>
      <c r="HU8" s="79"/>
      <c r="HV8" s="79"/>
      <c r="HW8" s="79"/>
      <c r="HX8" s="79"/>
      <c r="HY8" s="79"/>
      <c r="HZ8" s="79"/>
      <c r="IA8" s="79"/>
      <c r="IB8" s="79"/>
      <c r="IC8" s="79"/>
      <c r="ID8" s="79"/>
      <c r="IE8" s="79"/>
      <c r="IF8" s="79"/>
      <c r="IG8" s="79"/>
      <c r="IH8" s="79"/>
    </row>
    <row r="9" spans="1:242" s="31" customFormat="1" ht="24" customHeight="1" x14ac:dyDescent="0.25">
      <c r="A9" s="4">
        <v>9</v>
      </c>
      <c r="B9" s="168" t="s">
        <v>72</v>
      </c>
      <c r="C9" s="87" t="s">
        <v>256</v>
      </c>
      <c r="D9" s="152"/>
      <c r="E9" s="82"/>
      <c r="F9" s="82"/>
      <c r="G9" s="82"/>
      <c r="H9" s="160"/>
      <c r="I9" s="81" t="s">
        <v>243</v>
      </c>
      <c r="J9" s="82" t="s">
        <v>78</v>
      </c>
      <c r="K9" s="82" t="s">
        <v>124</v>
      </c>
      <c r="L9" s="82" t="s">
        <v>125</v>
      </c>
      <c r="M9" s="82" t="s">
        <v>124</v>
      </c>
      <c r="N9" s="82" t="s">
        <v>126</v>
      </c>
      <c r="O9" s="83" t="s">
        <v>127</v>
      </c>
      <c r="P9" s="81" t="s">
        <v>243</v>
      </c>
      <c r="Q9" s="82" t="s">
        <v>128</v>
      </c>
      <c r="R9" s="82" t="s">
        <v>124</v>
      </c>
      <c r="S9" s="83" t="s">
        <v>127</v>
      </c>
      <c r="T9" s="81" t="s">
        <v>243</v>
      </c>
      <c r="U9" s="82" t="s">
        <v>129</v>
      </c>
      <c r="V9" s="82" t="s">
        <v>124</v>
      </c>
      <c r="W9" s="83" t="s">
        <v>127</v>
      </c>
      <c r="X9" s="81" t="s">
        <v>246</v>
      </c>
      <c r="Y9" s="82" t="s">
        <v>130</v>
      </c>
      <c r="Z9" s="82" t="s">
        <v>124</v>
      </c>
      <c r="AA9" s="83" t="s">
        <v>127</v>
      </c>
      <c r="AB9" s="186" t="s">
        <v>127</v>
      </c>
      <c r="AC9" s="84"/>
      <c r="AD9" s="84"/>
      <c r="AE9" s="84"/>
      <c r="AF9" s="84"/>
      <c r="AG9" s="84"/>
      <c r="AH9" s="84"/>
      <c r="AI9" s="84"/>
      <c r="AJ9" s="84"/>
      <c r="AK9" s="84"/>
      <c r="AL9" s="84"/>
      <c r="AM9" s="84"/>
      <c r="AN9" s="84"/>
      <c r="AO9" s="84"/>
      <c r="AP9" s="84"/>
      <c r="AQ9" s="84"/>
      <c r="AR9" s="84"/>
      <c r="AS9" s="84"/>
      <c r="AT9" s="84"/>
      <c r="AU9" s="84"/>
      <c r="AV9" s="84"/>
      <c r="AW9" s="84"/>
      <c r="AX9" s="84"/>
      <c r="AY9" s="84"/>
      <c r="AZ9" s="84"/>
      <c r="BA9" s="84"/>
      <c r="BB9" s="84"/>
      <c r="BC9" s="84"/>
      <c r="BD9" s="84"/>
      <c r="BE9" s="84"/>
      <c r="BF9" s="84"/>
      <c r="BG9" s="84"/>
      <c r="BH9" s="84"/>
      <c r="BI9" s="84"/>
      <c r="BJ9" s="84"/>
      <c r="BK9" s="84"/>
      <c r="BL9" s="84"/>
      <c r="BM9" s="84"/>
      <c r="BN9" s="84"/>
      <c r="BO9" s="84"/>
      <c r="BP9" s="84"/>
      <c r="BQ9" s="84"/>
      <c r="BR9" s="84"/>
      <c r="BS9" s="84"/>
      <c r="BT9" s="84"/>
      <c r="BU9" s="84"/>
      <c r="BV9" s="84"/>
      <c r="BW9" s="84"/>
      <c r="BX9" s="84"/>
      <c r="BY9" s="84"/>
      <c r="BZ9" s="84"/>
      <c r="CA9" s="84"/>
      <c r="CB9" s="84"/>
      <c r="CC9" s="84"/>
      <c r="CD9" s="84"/>
      <c r="CE9" s="84"/>
      <c r="CF9" s="84"/>
      <c r="CG9" s="84"/>
      <c r="CH9" s="84"/>
      <c r="CI9" s="84"/>
      <c r="CJ9" s="84"/>
      <c r="CK9" s="84"/>
      <c r="CL9" s="84"/>
      <c r="CM9" s="84"/>
      <c r="CN9" s="84"/>
      <c r="CO9" s="84"/>
      <c r="CP9" s="84"/>
      <c r="CQ9" s="84"/>
      <c r="CR9" s="84"/>
      <c r="CS9" s="84"/>
      <c r="CT9" s="84"/>
      <c r="CU9" s="84"/>
      <c r="CV9" s="84"/>
      <c r="CW9" s="84"/>
      <c r="CX9" s="84"/>
      <c r="CY9" s="84"/>
      <c r="CZ9" s="84"/>
      <c r="DA9" s="84"/>
      <c r="DB9" s="84"/>
      <c r="DC9" s="84"/>
      <c r="DD9" s="84"/>
      <c r="DE9" s="84"/>
      <c r="DF9" s="84"/>
      <c r="DG9" s="84"/>
      <c r="DH9" s="84"/>
      <c r="DI9" s="84"/>
      <c r="DJ9" s="84"/>
      <c r="DK9" s="84"/>
      <c r="DL9" s="84"/>
      <c r="DM9" s="84"/>
      <c r="DN9" s="84"/>
      <c r="DO9" s="84"/>
      <c r="DP9" s="84"/>
      <c r="DQ9" s="84"/>
      <c r="DR9" s="84"/>
      <c r="DS9" s="84"/>
      <c r="DT9" s="84"/>
      <c r="DU9" s="84"/>
      <c r="DV9" s="84"/>
      <c r="DW9" s="84"/>
      <c r="DX9" s="84"/>
      <c r="DY9" s="84"/>
      <c r="DZ9" s="84"/>
      <c r="EA9" s="84"/>
      <c r="EB9" s="84"/>
      <c r="EC9" s="84"/>
      <c r="ED9" s="84"/>
      <c r="EE9" s="84"/>
      <c r="EF9" s="84"/>
      <c r="EG9" s="84"/>
      <c r="EH9" s="84"/>
      <c r="EI9" s="84"/>
      <c r="EJ9" s="84"/>
      <c r="EK9" s="84"/>
      <c r="EL9" s="84"/>
      <c r="EM9" s="84"/>
      <c r="EN9" s="84"/>
      <c r="EO9" s="84"/>
      <c r="EP9" s="84"/>
      <c r="EQ9" s="84"/>
      <c r="ER9" s="84"/>
      <c r="ES9" s="84"/>
      <c r="ET9" s="84"/>
      <c r="EU9" s="84"/>
      <c r="EV9" s="84"/>
      <c r="EW9" s="84"/>
      <c r="EX9" s="84"/>
      <c r="EY9" s="84"/>
      <c r="EZ9" s="84"/>
      <c r="FA9" s="84"/>
      <c r="FB9" s="84"/>
      <c r="FC9" s="84"/>
      <c r="FD9" s="84"/>
      <c r="FE9" s="84"/>
      <c r="FF9" s="84"/>
      <c r="FG9" s="84"/>
      <c r="FH9" s="84"/>
      <c r="FI9" s="84"/>
      <c r="FJ9" s="84"/>
      <c r="FK9" s="84"/>
      <c r="FL9" s="84"/>
      <c r="FM9" s="84"/>
      <c r="FN9" s="84"/>
      <c r="FO9" s="84"/>
      <c r="FP9" s="84"/>
      <c r="FQ9" s="84"/>
      <c r="FR9" s="84"/>
      <c r="FS9" s="84"/>
      <c r="FT9" s="84"/>
      <c r="FU9" s="84"/>
      <c r="FV9" s="84"/>
      <c r="FW9" s="84"/>
      <c r="FX9" s="84"/>
      <c r="FY9" s="84"/>
      <c r="FZ9" s="84"/>
      <c r="GA9" s="84"/>
      <c r="GB9" s="84"/>
      <c r="GC9" s="84"/>
      <c r="GD9" s="84"/>
      <c r="GE9" s="84"/>
      <c r="GF9" s="84"/>
      <c r="GG9" s="84"/>
      <c r="GH9" s="84"/>
      <c r="GI9" s="84"/>
      <c r="GJ9" s="84"/>
      <c r="GK9" s="84"/>
      <c r="GL9" s="84"/>
      <c r="GM9" s="84"/>
      <c r="GN9" s="84"/>
      <c r="GO9" s="84"/>
      <c r="GP9" s="84"/>
      <c r="GQ9" s="84"/>
      <c r="GR9" s="84"/>
      <c r="GS9" s="84"/>
      <c r="GT9" s="84"/>
      <c r="GU9" s="84"/>
      <c r="GV9" s="84"/>
      <c r="GW9" s="84"/>
      <c r="GX9" s="84"/>
      <c r="GY9" s="84"/>
      <c r="GZ9" s="84"/>
      <c r="HA9" s="84"/>
      <c r="HB9" s="84"/>
      <c r="HC9" s="84"/>
      <c r="HD9" s="84"/>
      <c r="HE9" s="84"/>
      <c r="HF9" s="84"/>
      <c r="HG9" s="84"/>
      <c r="HH9" s="84"/>
      <c r="HI9" s="84"/>
      <c r="HJ9" s="84"/>
      <c r="HK9" s="84"/>
      <c r="HL9" s="84"/>
      <c r="HM9" s="84"/>
      <c r="HN9" s="84"/>
      <c r="HO9" s="84"/>
      <c r="HP9" s="84"/>
      <c r="HQ9" s="84"/>
      <c r="HR9" s="84"/>
      <c r="HS9" s="84"/>
      <c r="HT9" s="84"/>
      <c r="HU9" s="84"/>
      <c r="HV9" s="84"/>
      <c r="HW9" s="84"/>
      <c r="HX9" s="84"/>
      <c r="HY9" s="84"/>
      <c r="HZ9" s="84"/>
      <c r="IA9" s="84"/>
      <c r="IB9" s="84"/>
      <c r="IC9" s="84"/>
      <c r="ID9" s="84"/>
      <c r="IE9" s="84"/>
      <c r="IF9" s="84"/>
      <c r="IG9" s="84"/>
      <c r="IH9" s="84"/>
    </row>
    <row r="10" spans="1:242" s="31" customFormat="1" ht="18" customHeight="1" x14ac:dyDescent="0.25">
      <c r="A10" s="4">
        <v>10</v>
      </c>
      <c r="B10" s="168" t="s">
        <v>74</v>
      </c>
      <c r="C10" s="87" t="s">
        <v>257</v>
      </c>
      <c r="D10" s="153" t="s">
        <v>78</v>
      </c>
      <c r="E10" s="86" t="s">
        <v>81</v>
      </c>
      <c r="F10" s="86" t="s">
        <v>27</v>
      </c>
      <c r="G10" s="86" t="s">
        <v>82</v>
      </c>
      <c r="H10" s="87" t="s">
        <v>83</v>
      </c>
      <c r="I10" s="85" t="s">
        <v>78</v>
      </c>
      <c r="J10" s="86" t="s">
        <v>131</v>
      </c>
      <c r="K10" s="86" t="s">
        <v>132</v>
      </c>
      <c r="L10" s="86" t="s">
        <v>537</v>
      </c>
      <c r="M10" s="86" t="s">
        <v>134</v>
      </c>
      <c r="N10" s="86" t="s">
        <v>135</v>
      </c>
      <c r="O10" s="155" t="s">
        <v>136</v>
      </c>
      <c r="P10" s="85" t="s">
        <v>81</v>
      </c>
      <c r="Q10" s="86" t="s">
        <v>131</v>
      </c>
      <c r="R10" s="86" t="s">
        <v>132</v>
      </c>
      <c r="S10" s="87" t="s">
        <v>128</v>
      </c>
      <c r="T10" s="85" t="s">
        <v>27</v>
      </c>
      <c r="U10" s="86" t="s">
        <v>131</v>
      </c>
      <c r="V10" s="86" t="s">
        <v>132</v>
      </c>
      <c r="W10" s="87" t="s">
        <v>137</v>
      </c>
      <c r="X10" s="248" t="s">
        <v>82</v>
      </c>
      <c r="Y10" s="86" t="s">
        <v>131</v>
      </c>
      <c r="Z10" s="86" t="s">
        <v>132</v>
      </c>
      <c r="AA10" s="87" t="s">
        <v>138</v>
      </c>
      <c r="AB10" s="187" t="s">
        <v>139</v>
      </c>
      <c r="AC10" s="84"/>
      <c r="AD10" s="84"/>
      <c r="AE10" s="84"/>
      <c r="AF10" s="84"/>
      <c r="AG10" s="84"/>
      <c r="AH10" s="84"/>
      <c r="AI10" s="84"/>
      <c r="AJ10" s="84"/>
      <c r="AK10" s="84"/>
      <c r="AL10" s="84"/>
      <c r="AM10" s="84"/>
      <c r="AN10" s="84"/>
      <c r="AO10" s="84"/>
      <c r="AP10" s="84"/>
      <c r="AQ10" s="84"/>
      <c r="AR10" s="84"/>
      <c r="AS10" s="84"/>
      <c r="AT10" s="84"/>
      <c r="AU10" s="84"/>
      <c r="AV10" s="84"/>
      <c r="AW10" s="84"/>
      <c r="AX10" s="84"/>
      <c r="AY10" s="84"/>
      <c r="AZ10" s="84"/>
      <c r="BA10" s="84"/>
      <c r="BB10" s="84"/>
      <c r="BC10" s="84"/>
      <c r="BD10" s="84"/>
      <c r="BE10" s="84"/>
      <c r="BF10" s="84"/>
      <c r="BG10" s="84"/>
      <c r="BH10" s="84"/>
      <c r="BI10" s="84"/>
      <c r="BJ10" s="84"/>
      <c r="BK10" s="84"/>
      <c r="BL10" s="84"/>
      <c r="BM10" s="84"/>
      <c r="BN10" s="84"/>
      <c r="BO10" s="84"/>
      <c r="BP10" s="84"/>
      <c r="BQ10" s="84"/>
      <c r="BR10" s="84"/>
      <c r="BS10" s="84"/>
      <c r="BT10" s="84"/>
      <c r="BU10" s="84"/>
      <c r="BV10" s="84"/>
      <c r="BW10" s="84"/>
      <c r="BX10" s="84"/>
      <c r="BY10" s="84"/>
      <c r="BZ10" s="84"/>
      <c r="CA10" s="84"/>
      <c r="CB10" s="84"/>
      <c r="CC10" s="84"/>
      <c r="CD10" s="84"/>
      <c r="CE10" s="84"/>
      <c r="CF10" s="84"/>
      <c r="CG10" s="84"/>
      <c r="CH10" s="84"/>
      <c r="CI10" s="84"/>
      <c r="CJ10" s="84"/>
      <c r="CK10" s="84"/>
      <c r="CL10" s="84"/>
      <c r="CM10" s="84"/>
      <c r="CN10" s="84"/>
      <c r="CO10" s="84"/>
      <c r="CP10" s="84"/>
      <c r="CQ10" s="84"/>
      <c r="CR10" s="84"/>
      <c r="CS10" s="84"/>
      <c r="CT10" s="84"/>
      <c r="CU10" s="84"/>
      <c r="CV10" s="84"/>
      <c r="CW10" s="84"/>
      <c r="CX10" s="84"/>
      <c r="CY10" s="84"/>
      <c r="CZ10" s="84"/>
      <c r="DA10" s="84"/>
      <c r="DB10" s="84"/>
      <c r="DC10" s="84"/>
      <c r="DD10" s="84"/>
      <c r="DE10" s="84"/>
      <c r="DF10" s="84"/>
      <c r="DG10" s="84"/>
      <c r="DH10" s="84"/>
      <c r="DI10" s="84"/>
      <c r="DJ10" s="84"/>
      <c r="DK10" s="84"/>
      <c r="DL10" s="84"/>
      <c r="DM10" s="84"/>
      <c r="DN10" s="84"/>
      <c r="DO10" s="84"/>
      <c r="DP10" s="84"/>
      <c r="DQ10" s="84"/>
      <c r="DR10" s="84"/>
      <c r="DS10" s="84"/>
      <c r="DT10" s="84"/>
      <c r="DU10" s="84"/>
      <c r="DV10" s="84"/>
      <c r="DW10" s="84"/>
      <c r="DX10" s="84"/>
      <c r="DY10" s="84"/>
      <c r="DZ10" s="84"/>
      <c r="EA10" s="84"/>
      <c r="EB10" s="84"/>
      <c r="EC10" s="84"/>
      <c r="ED10" s="84"/>
      <c r="EE10" s="84"/>
      <c r="EF10" s="84"/>
      <c r="EG10" s="84"/>
      <c r="EH10" s="84"/>
      <c r="EI10" s="84"/>
      <c r="EJ10" s="84"/>
      <c r="EK10" s="84"/>
      <c r="EL10" s="84"/>
      <c r="EM10" s="84"/>
      <c r="EN10" s="84"/>
      <c r="EO10" s="84"/>
      <c r="EP10" s="84"/>
      <c r="EQ10" s="84"/>
      <c r="ER10" s="84"/>
      <c r="ES10" s="84"/>
      <c r="ET10" s="84"/>
      <c r="EU10" s="84"/>
      <c r="EV10" s="84"/>
      <c r="EW10" s="84"/>
      <c r="EX10" s="84"/>
      <c r="EY10" s="84"/>
      <c r="EZ10" s="84"/>
      <c r="FA10" s="84"/>
      <c r="FB10" s="84"/>
      <c r="FC10" s="84"/>
      <c r="FD10" s="84"/>
      <c r="FE10" s="84"/>
      <c r="FF10" s="84"/>
      <c r="FG10" s="84"/>
      <c r="FH10" s="84"/>
      <c r="FI10" s="84"/>
      <c r="FJ10" s="84"/>
      <c r="FK10" s="84"/>
      <c r="FL10" s="84"/>
      <c r="FM10" s="84"/>
      <c r="FN10" s="84"/>
      <c r="FO10" s="84"/>
      <c r="FP10" s="84"/>
      <c r="FQ10" s="84"/>
      <c r="FR10" s="84"/>
      <c r="FS10" s="84"/>
      <c r="FT10" s="84"/>
      <c r="FU10" s="84"/>
      <c r="FV10" s="84"/>
      <c r="FW10" s="84"/>
      <c r="FX10" s="84"/>
      <c r="FY10" s="84"/>
      <c r="FZ10" s="84"/>
      <c r="GA10" s="84"/>
      <c r="GB10" s="84"/>
      <c r="GC10" s="84"/>
      <c r="GD10" s="84"/>
      <c r="GE10" s="84"/>
      <c r="GF10" s="84"/>
      <c r="GG10" s="84"/>
      <c r="GH10" s="84"/>
      <c r="GI10" s="84"/>
      <c r="GJ10" s="84"/>
      <c r="GK10" s="84"/>
      <c r="GL10" s="84"/>
      <c r="GM10" s="84"/>
      <c r="GN10" s="84"/>
      <c r="GO10" s="84"/>
      <c r="GP10" s="84"/>
      <c r="GQ10" s="84"/>
      <c r="GR10" s="84"/>
      <c r="GS10" s="84"/>
      <c r="GT10" s="84"/>
      <c r="GU10" s="84"/>
      <c r="GV10" s="84"/>
      <c r="GW10" s="84"/>
      <c r="GX10" s="84"/>
      <c r="GY10" s="84"/>
      <c r="GZ10" s="84"/>
      <c r="HA10" s="84"/>
      <c r="HB10" s="84"/>
      <c r="HC10" s="84"/>
      <c r="HD10" s="84"/>
      <c r="HE10" s="84"/>
      <c r="HF10" s="84"/>
      <c r="HG10" s="84"/>
      <c r="HH10" s="84"/>
      <c r="HI10" s="84"/>
      <c r="HJ10" s="84"/>
      <c r="HK10" s="84"/>
      <c r="HL10" s="84"/>
      <c r="HM10" s="84"/>
      <c r="HN10" s="84"/>
      <c r="HO10" s="84"/>
      <c r="HP10" s="84"/>
      <c r="HQ10" s="84"/>
      <c r="HR10" s="84"/>
      <c r="HS10" s="84"/>
      <c r="HT10" s="84"/>
      <c r="HU10" s="84"/>
      <c r="HV10" s="84"/>
      <c r="HW10" s="84"/>
      <c r="HX10" s="84"/>
      <c r="HY10" s="84"/>
      <c r="HZ10" s="84"/>
      <c r="IA10" s="84"/>
      <c r="IB10" s="84"/>
      <c r="IC10" s="84"/>
      <c r="ID10" s="84"/>
      <c r="IE10" s="84"/>
      <c r="IF10" s="84"/>
      <c r="IG10" s="84"/>
      <c r="IH10" s="84"/>
    </row>
    <row r="11" spans="1:242" s="31" customFormat="1" ht="18" customHeight="1" x14ac:dyDescent="0.25">
      <c r="A11" s="4">
        <v>11</v>
      </c>
      <c r="B11" s="168"/>
      <c r="C11" s="290" t="s">
        <v>75</v>
      </c>
      <c r="D11" s="153" t="s">
        <v>141</v>
      </c>
      <c r="E11" s="86" t="s">
        <v>142</v>
      </c>
      <c r="F11" s="86" t="s">
        <v>141</v>
      </c>
      <c r="G11" s="86" t="s">
        <v>142</v>
      </c>
      <c r="H11" s="87" t="s">
        <v>143</v>
      </c>
      <c r="I11" s="85" t="s">
        <v>141</v>
      </c>
      <c r="J11" s="88" t="s">
        <v>144</v>
      </c>
      <c r="K11" s="86" t="s">
        <v>145</v>
      </c>
      <c r="L11" s="86" t="s">
        <v>538</v>
      </c>
      <c r="M11" s="86" t="s">
        <v>145</v>
      </c>
      <c r="N11" s="86" t="s">
        <v>147</v>
      </c>
      <c r="O11" s="155" t="s">
        <v>148</v>
      </c>
      <c r="P11" s="85" t="s">
        <v>142</v>
      </c>
      <c r="Q11" s="88" t="s">
        <v>144</v>
      </c>
      <c r="R11" s="86" t="s">
        <v>145</v>
      </c>
      <c r="S11" s="87" t="s">
        <v>149</v>
      </c>
      <c r="T11" s="85" t="s">
        <v>141</v>
      </c>
      <c r="U11" s="88" t="s">
        <v>144</v>
      </c>
      <c r="V11" s="86" t="s">
        <v>145</v>
      </c>
      <c r="W11" s="87" t="s">
        <v>148</v>
      </c>
      <c r="X11" s="248" t="s">
        <v>142</v>
      </c>
      <c r="Y11" s="88" t="s">
        <v>144</v>
      </c>
      <c r="Z11" s="86" t="s">
        <v>145</v>
      </c>
      <c r="AA11" s="87" t="s">
        <v>149</v>
      </c>
      <c r="AB11" s="187" t="s">
        <v>91</v>
      </c>
      <c r="AC11" s="84"/>
      <c r="AD11" s="84"/>
      <c r="AE11" s="84"/>
      <c r="AF11" s="84"/>
      <c r="AG11" s="84"/>
      <c r="AH11" s="84"/>
      <c r="AI11" s="84"/>
      <c r="AJ11" s="84"/>
      <c r="AK11" s="84"/>
      <c r="AL11" s="84"/>
      <c r="AM11" s="84"/>
      <c r="AN11" s="84"/>
      <c r="AO11" s="84"/>
      <c r="AP11" s="84"/>
      <c r="AQ11" s="84"/>
      <c r="AR11" s="84"/>
      <c r="AS11" s="84"/>
      <c r="AT11" s="84"/>
      <c r="AU11" s="84"/>
      <c r="AV11" s="84"/>
      <c r="AW11" s="84"/>
      <c r="AX11" s="84"/>
      <c r="AY11" s="84"/>
      <c r="AZ11" s="84"/>
      <c r="BA11" s="84"/>
      <c r="BB11" s="84"/>
      <c r="BC11" s="84"/>
      <c r="BD11" s="84"/>
      <c r="BE11" s="84"/>
      <c r="BF11" s="84"/>
      <c r="BG11" s="84"/>
      <c r="BH11" s="84"/>
      <c r="BI11" s="84"/>
      <c r="BJ11" s="84"/>
      <c r="BK11" s="84"/>
      <c r="BL11" s="84"/>
      <c r="BM11" s="84"/>
      <c r="BN11" s="84"/>
      <c r="BO11" s="84"/>
      <c r="BP11" s="84"/>
      <c r="BQ11" s="84"/>
      <c r="BR11" s="84"/>
      <c r="BS11" s="84"/>
      <c r="BT11" s="84"/>
      <c r="BU11" s="84"/>
      <c r="BV11" s="84"/>
      <c r="BW11" s="84"/>
      <c r="BX11" s="84"/>
      <c r="BY11" s="84"/>
      <c r="BZ11" s="84"/>
      <c r="CA11" s="84"/>
      <c r="CB11" s="84"/>
      <c r="CC11" s="84"/>
      <c r="CD11" s="84"/>
      <c r="CE11" s="84"/>
      <c r="CF11" s="84"/>
      <c r="CG11" s="84"/>
      <c r="CH11" s="84"/>
      <c r="CI11" s="84"/>
      <c r="CJ11" s="84"/>
      <c r="CK11" s="84"/>
      <c r="CL11" s="84"/>
      <c r="CM11" s="84"/>
      <c r="CN11" s="84"/>
      <c r="CO11" s="84"/>
      <c r="CP11" s="84"/>
      <c r="CQ11" s="84"/>
      <c r="CR11" s="84"/>
      <c r="CS11" s="84"/>
      <c r="CT11" s="84"/>
      <c r="CU11" s="84"/>
      <c r="CV11" s="84"/>
      <c r="CW11" s="84"/>
      <c r="CX11" s="84"/>
      <c r="CY11" s="84"/>
      <c r="CZ11" s="84"/>
      <c r="DA11" s="84"/>
      <c r="DB11" s="84"/>
      <c r="DC11" s="84"/>
      <c r="DD11" s="84"/>
      <c r="DE11" s="84"/>
      <c r="DF11" s="84"/>
      <c r="DG11" s="84"/>
      <c r="DH11" s="84"/>
      <c r="DI11" s="84"/>
      <c r="DJ11" s="84"/>
      <c r="DK11" s="84"/>
      <c r="DL11" s="84"/>
      <c r="DM11" s="84"/>
      <c r="DN11" s="84"/>
      <c r="DO11" s="84"/>
      <c r="DP11" s="84"/>
      <c r="DQ11" s="84"/>
      <c r="DR11" s="84"/>
      <c r="DS11" s="84"/>
      <c r="DT11" s="84"/>
      <c r="DU11" s="84"/>
      <c r="DV11" s="84"/>
      <c r="DW11" s="84"/>
      <c r="DX11" s="84"/>
      <c r="DY11" s="84"/>
      <c r="DZ11" s="84"/>
      <c r="EA11" s="84"/>
      <c r="EB11" s="84"/>
      <c r="EC11" s="84"/>
      <c r="ED11" s="84"/>
      <c r="EE11" s="84"/>
      <c r="EF11" s="84"/>
      <c r="EG11" s="84"/>
      <c r="EH11" s="84"/>
      <c r="EI11" s="84"/>
      <c r="EJ11" s="84"/>
      <c r="EK11" s="84"/>
      <c r="EL11" s="84"/>
      <c r="EM11" s="84"/>
      <c r="EN11" s="84"/>
      <c r="EO11" s="84"/>
      <c r="EP11" s="84"/>
      <c r="EQ11" s="84"/>
      <c r="ER11" s="84"/>
      <c r="ES11" s="84"/>
      <c r="ET11" s="84"/>
      <c r="EU11" s="84"/>
      <c r="EV11" s="84"/>
      <c r="EW11" s="84"/>
      <c r="EX11" s="84"/>
      <c r="EY11" s="84"/>
      <c r="EZ11" s="84"/>
      <c r="FA11" s="84"/>
      <c r="FB11" s="84"/>
      <c r="FC11" s="84"/>
      <c r="FD11" s="84"/>
      <c r="FE11" s="84"/>
      <c r="FF11" s="84"/>
      <c r="FG11" s="84"/>
      <c r="FH11" s="84"/>
      <c r="FI11" s="84"/>
      <c r="FJ11" s="84"/>
      <c r="FK11" s="84"/>
      <c r="FL11" s="84"/>
      <c r="FM11" s="84"/>
      <c r="FN11" s="84"/>
      <c r="FO11" s="84"/>
      <c r="FP11" s="84"/>
      <c r="FQ11" s="84"/>
      <c r="FR11" s="84"/>
      <c r="FS11" s="84"/>
      <c r="FT11" s="84"/>
      <c r="FU11" s="84"/>
      <c r="FV11" s="84"/>
      <c r="FW11" s="84"/>
      <c r="FX11" s="84"/>
      <c r="FY11" s="84"/>
      <c r="FZ11" s="84"/>
      <c r="GA11" s="84"/>
      <c r="GB11" s="84"/>
      <c r="GC11" s="84"/>
      <c r="GD11" s="84"/>
      <c r="GE11" s="84"/>
      <c r="GF11" s="84"/>
      <c r="GG11" s="84"/>
      <c r="GH11" s="84"/>
      <c r="GI11" s="84"/>
      <c r="GJ11" s="84"/>
      <c r="GK11" s="84"/>
      <c r="GL11" s="84"/>
      <c r="GM11" s="84"/>
      <c r="GN11" s="84"/>
      <c r="GO11" s="84"/>
      <c r="GP11" s="84"/>
      <c r="GQ11" s="84"/>
      <c r="GR11" s="84"/>
      <c r="GS11" s="84"/>
      <c r="GT11" s="84"/>
      <c r="GU11" s="84"/>
      <c r="GV11" s="84"/>
      <c r="GW11" s="84"/>
      <c r="GX11" s="84"/>
      <c r="GY11" s="84"/>
      <c r="GZ11" s="84"/>
      <c r="HA11" s="84"/>
      <c r="HB11" s="84"/>
      <c r="HC11" s="84"/>
      <c r="HD11" s="84"/>
      <c r="HE11" s="84"/>
      <c r="HF11" s="84"/>
      <c r="HG11" s="84"/>
      <c r="HH11" s="84"/>
      <c r="HI11" s="84"/>
      <c r="HJ11" s="84"/>
      <c r="HK11" s="84"/>
      <c r="HL11" s="84"/>
      <c r="HM11" s="84"/>
      <c r="HN11" s="84"/>
      <c r="HO11" s="84"/>
      <c r="HP11" s="84"/>
      <c r="HQ11" s="84"/>
      <c r="HR11" s="84"/>
      <c r="HS11" s="84"/>
      <c r="HT11" s="84"/>
      <c r="HU11" s="84"/>
      <c r="HV11" s="84"/>
      <c r="HW11" s="84"/>
      <c r="HX11" s="84"/>
      <c r="HY11" s="84"/>
      <c r="HZ11" s="84"/>
      <c r="IA11" s="84"/>
      <c r="IB11" s="84"/>
      <c r="IC11" s="84"/>
      <c r="ID11" s="84"/>
      <c r="IE11" s="84"/>
      <c r="IF11" s="84"/>
      <c r="IG11" s="84"/>
      <c r="IH11" s="84"/>
    </row>
    <row r="12" spans="1:242" ht="18" customHeight="1" x14ac:dyDescent="0.25">
      <c r="A12" s="4">
        <v>12</v>
      </c>
      <c r="B12" s="169"/>
      <c r="C12" s="304" t="s">
        <v>84</v>
      </c>
      <c r="D12" s="164"/>
      <c r="E12" s="89"/>
      <c r="F12" s="89"/>
      <c r="G12" s="89"/>
      <c r="H12" s="105"/>
      <c r="I12" s="92" t="s">
        <v>196</v>
      </c>
      <c r="J12" s="90" t="s">
        <v>150</v>
      </c>
      <c r="K12" s="90" t="s">
        <v>151</v>
      </c>
      <c r="L12" s="90" t="s">
        <v>539</v>
      </c>
      <c r="M12" s="90" t="s">
        <v>211</v>
      </c>
      <c r="N12" s="90" t="s">
        <v>152</v>
      </c>
      <c r="O12" s="91" t="s">
        <v>153</v>
      </c>
      <c r="P12" s="92" t="s">
        <v>201</v>
      </c>
      <c r="Q12" s="90" t="s">
        <v>150</v>
      </c>
      <c r="R12" s="90" t="s">
        <v>154</v>
      </c>
      <c r="S12" s="91" t="s">
        <v>155</v>
      </c>
      <c r="T12" s="92" t="s">
        <v>200</v>
      </c>
      <c r="U12" s="90" t="s">
        <v>150</v>
      </c>
      <c r="V12" s="90" t="s">
        <v>199</v>
      </c>
      <c r="W12" s="91" t="s">
        <v>156</v>
      </c>
      <c r="X12" s="315" t="s">
        <v>198</v>
      </c>
      <c r="Y12" s="90" t="s">
        <v>150</v>
      </c>
      <c r="Z12" s="90" t="s">
        <v>157</v>
      </c>
      <c r="AA12" s="91" t="s">
        <v>158</v>
      </c>
      <c r="AB12" s="188" t="s">
        <v>169</v>
      </c>
      <c r="AC12" s="73"/>
      <c r="AD12" s="73"/>
      <c r="AE12" s="73"/>
      <c r="AF12" s="73"/>
      <c r="AG12" s="73"/>
      <c r="AH12" s="73"/>
      <c r="AI12" s="73"/>
      <c r="AJ12" s="73"/>
      <c r="AK12" s="73"/>
      <c r="AL12" s="73"/>
      <c r="AM12" s="73"/>
      <c r="AN12" s="73"/>
      <c r="AO12" s="73"/>
      <c r="AP12" s="73"/>
      <c r="AQ12" s="73"/>
      <c r="AR12" s="73"/>
      <c r="AS12" s="73"/>
      <c r="AT12" s="73"/>
      <c r="AU12" s="73"/>
      <c r="AV12" s="73"/>
      <c r="AW12" s="73"/>
      <c r="AX12" s="73"/>
      <c r="AY12" s="73"/>
      <c r="AZ12" s="73"/>
      <c r="BA12" s="73"/>
      <c r="BB12" s="73"/>
      <c r="BC12" s="73"/>
      <c r="BD12" s="73"/>
      <c r="BE12" s="73"/>
      <c r="BF12" s="73"/>
      <c r="BG12" s="73"/>
      <c r="BH12" s="73"/>
      <c r="BI12" s="73"/>
      <c r="BJ12" s="73"/>
      <c r="BK12" s="73"/>
      <c r="BL12" s="73"/>
      <c r="BM12" s="73"/>
      <c r="BN12" s="73"/>
      <c r="BO12" s="73"/>
      <c r="BP12" s="73"/>
      <c r="BQ12" s="73"/>
      <c r="BR12" s="73"/>
      <c r="BS12" s="73"/>
      <c r="BT12" s="73"/>
      <c r="BU12" s="73"/>
      <c r="BV12" s="73"/>
      <c r="BW12" s="73"/>
      <c r="BX12" s="73"/>
      <c r="BY12" s="73"/>
      <c r="BZ12" s="73"/>
      <c r="CA12" s="73"/>
      <c r="CB12" s="73"/>
      <c r="CC12" s="73"/>
      <c r="CD12" s="73"/>
      <c r="CE12" s="73"/>
      <c r="CF12" s="73"/>
      <c r="CG12" s="73"/>
      <c r="CH12" s="73"/>
      <c r="CI12" s="73"/>
      <c r="CJ12" s="73"/>
      <c r="CK12" s="73"/>
      <c r="CL12" s="73"/>
      <c r="CM12" s="73"/>
      <c r="CN12" s="73"/>
      <c r="CO12" s="73"/>
      <c r="CP12" s="73"/>
      <c r="CQ12" s="73"/>
      <c r="CR12" s="73"/>
      <c r="CS12" s="73"/>
      <c r="CT12" s="73"/>
      <c r="CU12" s="73"/>
      <c r="CV12" s="73"/>
      <c r="CW12" s="73"/>
      <c r="CX12" s="73"/>
      <c r="CY12" s="73"/>
      <c r="CZ12" s="73"/>
      <c r="DA12" s="73"/>
      <c r="DB12" s="73"/>
      <c r="DC12" s="73"/>
      <c r="DD12" s="73"/>
      <c r="DE12" s="73"/>
      <c r="DF12" s="73"/>
      <c r="DG12" s="73"/>
      <c r="DH12" s="73"/>
      <c r="DI12" s="73"/>
      <c r="DJ12" s="73"/>
      <c r="DK12" s="73"/>
      <c r="DL12" s="73"/>
      <c r="DM12" s="73"/>
      <c r="DN12" s="73"/>
      <c r="DO12" s="73"/>
      <c r="DP12" s="73"/>
      <c r="DQ12" s="73"/>
      <c r="DR12" s="73"/>
      <c r="DS12" s="73"/>
      <c r="DT12" s="73"/>
      <c r="DU12" s="73"/>
      <c r="DV12" s="73"/>
      <c r="DW12" s="73"/>
      <c r="DX12" s="73"/>
      <c r="DY12" s="73"/>
      <c r="DZ12" s="73"/>
      <c r="EA12" s="73"/>
      <c r="EB12" s="73"/>
      <c r="EC12" s="73"/>
      <c r="ED12" s="73"/>
      <c r="EE12" s="73"/>
      <c r="EF12" s="73"/>
      <c r="EG12" s="73"/>
      <c r="EH12" s="73"/>
      <c r="EI12" s="73"/>
      <c r="EJ12" s="73"/>
      <c r="EK12" s="73"/>
      <c r="EL12" s="73"/>
      <c r="EM12" s="73"/>
      <c r="EN12" s="73"/>
      <c r="EO12" s="73"/>
      <c r="EP12" s="73"/>
      <c r="EQ12" s="73"/>
      <c r="ER12" s="73"/>
      <c r="ES12" s="73"/>
      <c r="ET12" s="73"/>
      <c r="EU12" s="73"/>
      <c r="EV12" s="73"/>
      <c r="EW12" s="73"/>
      <c r="EX12" s="73"/>
      <c r="EY12" s="73"/>
      <c r="EZ12" s="73"/>
      <c r="FA12" s="73"/>
      <c r="FB12" s="73"/>
      <c r="FC12" s="73"/>
      <c r="FD12" s="73"/>
      <c r="FE12" s="73"/>
      <c r="FF12" s="73"/>
      <c r="FG12" s="73"/>
      <c r="FH12" s="73"/>
      <c r="FI12" s="73"/>
      <c r="FJ12" s="73"/>
      <c r="FK12" s="73"/>
      <c r="FL12" s="73"/>
      <c r="FM12" s="73"/>
      <c r="FN12" s="73"/>
      <c r="FO12" s="73"/>
      <c r="FP12" s="73"/>
      <c r="FQ12" s="73"/>
      <c r="FR12" s="73"/>
      <c r="FS12" s="73"/>
      <c r="FT12" s="73"/>
      <c r="FU12" s="73"/>
      <c r="FV12" s="73"/>
      <c r="FW12" s="73"/>
      <c r="FX12" s="73"/>
      <c r="FY12" s="73"/>
      <c r="FZ12" s="73"/>
      <c r="GA12" s="73"/>
      <c r="GB12" s="73"/>
      <c r="GC12" s="73"/>
      <c r="GD12" s="73"/>
      <c r="GE12" s="73"/>
      <c r="GF12" s="73"/>
      <c r="GG12" s="73"/>
      <c r="GH12" s="73"/>
      <c r="GI12" s="73"/>
      <c r="GJ12" s="73"/>
      <c r="GK12" s="73"/>
      <c r="GL12" s="73"/>
      <c r="GM12" s="73"/>
      <c r="GN12" s="73"/>
      <c r="GO12" s="73"/>
      <c r="GP12" s="73"/>
      <c r="GQ12" s="73"/>
      <c r="GR12" s="73"/>
      <c r="GS12" s="73"/>
      <c r="GT12" s="73"/>
      <c r="GU12" s="73"/>
      <c r="GV12" s="73"/>
      <c r="GW12" s="73"/>
      <c r="GX12" s="73"/>
      <c r="GY12" s="73"/>
      <c r="GZ12" s="73"/>
      <c r="HA12" s="73"/>
      <c r="HB12" s="73"/>
      <c r="HC12" s="73"/>
      <c r="HD12" s="73"/>
      <c r="HE12" s="73"/>
      <c r="HF12" s="73"/>
      <c r="HG12" s="73"/>
      <c r="HH12" s="73"/>
      <c r="HI12" s="73"/>
      <c r="HJ12" s="73"/>
      <c r="HK12" s="73"/>
      <c r="HL12" s="73"/>
      <c r="HM12" s="73"/>
      <c r="HN12" s="73"/>
      <c r="HO12" s="73"/>
      <c r="HP12" s="73"/>
      <c r="HQ12" s="73"/>
      <c r="HR12" s="73"/>
      <c r="HS12" s="73"/>
      <c r="HT12" s="73"/>
      <c r="HU12" s="73"/>
      <c r="HV12" s="73"/>
      <c r="HW12" s="73"/>
      <c r="HX12" s="73"/>
      <c r="HY12" s="73"/>
      <c r="HZ12" s="73"/>
      <c r="IA12" s="73"/>
      <c r="IB12" s="73"/>
      <c r="IC12" s="73"/>
      <c r="ID12" s="73"/>
      <c r="IE12" s="73"/>
      <c r="IF12" s="73"/>
      <c r="IG12" s="73"/>
      <c r="IH12" s="73"/>
    </row>
    <row r="13" spans="1:242" ht="18" customHeight="1" x14ac:dyDescent="0.25">
      <c r="A13" s="4">
        <v>13</v>
      </c>
      <c r="B13" s="405" t="s">
        <v>519</v>
      </c>
      <c r="C13" s="170">
        <f>'D1. Member Months'!D10</f>
        <v>19424</v>
      </c>
      <c r="D13" s="93">
        <f>'D3. Actual Waiver Cost'!K26</f>
        <v>479.43140469432632</v>
      </c>
      <c r="E13" s="94">
        <f>'D3. Actual Waiver Cost'!L26</f>
        <v>0</v>
      </c>
      <c r="F13" s="94">
        <f>'D3. Actual Waiver Cost'!M26</f>
        <v>0</v>
      </c>
      <c r="G13" s="94">
        <f>'D3. Actual Waiver Cost'!N13</f>
        <v>8.2867729217347534</v>
      </c>
      <c r="H13" s="161">
        <f>'D3. Actual Waiver Cost'!O26</f>
        <v>479.43140469432632</v>
      </c>
      <c r="I13" s="156">
        <f>D13</f>
        <v>479.43140469432632</v>
      </c>
      <c r="J13" s="415">
        <f>'D4. Adjustments in Projection'!I20</f>
        <v>5.5326816862467432E-2</v>
      </c>
      <c r="K13" s="94">
        <f>J13*I13</f>
        <v>26.525413525638502</v>
      </c>
      <c r="L13" s="415"/>
      <c r="M13" s="94">
        <f>(I13+K13)*(L13)</f>
        <v>0</v>
      </c>
      <c r="N13" s="94">
        <f>K13+M13</f>
        <v>26.525413525638502</v>
      </c>
      <c r="O13" s="157">
        <f>I13+N13</f>
        <v>505.95681821996482</v>
      </c>
      <c r="P13" s="156">
        <f>E13</f>
        <v>0</v>
      </c>
      <c r="Q13" s="415"/>
      <c r="R13" s="94">
        <f>Q13*P13</f>
        <v>0</v>
      </c>
      <c r="S13" s="183">
        <f>P13+R13</f>
        <v>0</v>
      </c>
      <c r="T13" s="156">
        <f>F13</f>
        <v>0</v>
      </c>
      <c r="U13" s="415"/>
      <c r="V13" s="94">
        <f>T13*U13</f>
        <v>0</v>
      </c>
      <c r="W13" s="183">
        <f>V13+T13</f>
        <v>0</v>
      </c>
      <c r="X13" s="156">
        <f>G13</f>
        <v>8.2867729217347534</v>
      </c>
      <c r="Y13" s="537">
        <f>1.02^2-1</f>
        <v>4.0399999999999991E-2</v>
      </c>
      <c r="Z13" s="94">
        <f>Y13*X13</f>
        <v>0.33478562603808398</v>
      </c>
      <c r="AA13" s="183">
        <f>Z13+X13</f>
        <v>8.6215585477728371</v>
      </c>
      <c r="AB13" s="189">
        <f>AA13+W13+S13+O13</f>
        <v>514.57837676773761</v>
      </c>
      <c r="AC13" s="73"/>
      <c r="AD13" s="73"/>
      <c r="AE13" s="73"/>
      <c r="AF13" s="73"/>
      <c r="AG13" s="73"/>
      <c r="AH13" s="73"/>
      <c r="AI13" s="73"/>
      <c r="AJ13" s="73"/>
      <c r="AK13" s="73"/>
      <c r="AL13" s="73"/>
      <c r="AM13" s="73"/>
      <c r="AN13" s="73"/>
      <c r="AO13" s="73"/>
      <c r="AP13" s="73"/>
      <c r="AQ13" s="73"/>
      <c r="AR13" s="73"/>
      <c r="AS13" s="73"/>
      <c r="AT13" s="73"/>
      <c r="AU13" s="73"/>
      <c r="AV13" s="73"/>
      <c r="AW13" s="73"/>
      <c r="AX13" s="73"/>
      <c r="AY13" s="73"/>
      <c r="AZ13" s="73"/>
      <c r="BA13" s="73"/>
      <c r="BB13" s="73"/>
      <c r="BC13" s="73"/>
      <c r="BD13" s="73"/>
      <c r="BE13" s="73"/>
      <c r="BF13" s="73"/>
      <c r="BG13" s="73"/>
      <c r="BH13" s="73"/>
      <c r="BI13" s="73"/>
      <c r="BJ13" s="73"/>
      <c r="BK13" s="73"/>
      <c r="BL13" s="73"/>
      <c r="BM13" s="73"/>
      <c r="BN13" s="73"/>
      <c r="BO13" s="73"/>
      <c r="BP13" s="73"/>
      <c r="BQ13" s="73"/>
      <c r="BR13" s="73"/>
      <c r="BS13" s="73"/>
      <c r="BT13" s="73"/>
      <c r="BU13" s="73"/>
      <c r="BV13" s="73"/>
      <c r="BW13" s="73"/>
      <c r="BX13" s="73"/>
      <c r="BY13" s="73"/>
      <c r="BZ13" s="73"/>
      <c r="CA13" s="73"/>
      <c r="CB13" s="73"/>
      <c r="CC13" s="73"/>
      <c r="CD13" s="73"/>
      <c r="CE13" s="73"/>
      <c r="CF13" s="73"/>
      <c r="CG13" s="73"/>
      <c r="CH13" s="73"/>
      <c r="CI13" s="73"/>
      <c r="CJ13" s="73"/>
      <c r="CK13" s="73"/>
      <c r="CL13" s="73"/>
      <c r="CM13" s="73"/>
      <c r="CN13" s="73"/>
      <c r="CO13" s="73"/>
      <c r="CP13" s="73"/>
      <c r="CQ13" s="73"/>
      <c r="CR13" s="73"/>
      <c r="CS13" s="73"/>
      <c r="CT13" s="73"/>
      <c r="CU13" s="73"/>
      <c r="CV13" s="73"/>
      <c r="CW13" s="73"/>
      <c r="CX13" s="73"/>
      <c r="CY13" s="73"/>
      <c r="CZ13" s="73"/>
      <c r="DA13" s="73"/>
      <c r="DB13" s="73"/>
      <c r="DC13" s="73"/>
      <c r="DD13" s="73"/>
      <c r="DE13" s="73"/>
      <c r="DF13" s="73"/>
      <c r="DG13" s="73"/>
      <c r="DH13" s="73"/>
      <c r="DI13" s="73"/>
      <c r="DJ13" s="73"/>
      <c r="DK13" s="73"/>
      <c r="DL13" s="73"/>
      <c r="DM13" s="73"/>
      <c r="DN13" s="73"/>
      <c r="DO13" s="73"/>
      <c r="DP13" s="73"/>
      <c r="DQ13" s="73"/>
      <c r="DR13" s="73"/>
      <c r="DS13" s="73"/>
      <c r="DT13" s="73"/>
      <c r="DU13" s="73"/>
      <c r="DV13" s="73"/>
      <c r="DW13" s="73"/>
      <c r="DX13" s="73"/>
      <c r="DY13" s="73"/>
      <c r="DZ13" s="73"/>
      <c r="EA13" s="73"/>
      <c r="EB13" s="73"/>
      <c r="EC13" s="73"/>
      <c r="ED13" s="73"/>
      <c r="EE13" s="73"/>
      <c r="EF13" s="73"/>
      <c r="EG13" s="73"/>
      <c r="EH13" s="73"/>
      <c r="EI13" s="73"/>
      <c r="EJ13" s="73"/>
      <c r="EK13" s="73"/>
      <c r="EL13" s="73"/>
      <c r="EM13" s="73"/>
      <c r="EN13" s="73"/>
      <c r="EO13" s="73"/>
      <c r="EP13" s="73"/>
      <c r="EQ13" s="73"/>
      <c r="ER13" s="73"/>
      <c r="ES13" s="73"/>
      <c r="ET13" s="73"/>
      <c r="EU13" s="73"/>
      <c r="EV13" s="73"/>
      <c r="EW13" s="73"/>
      <c r="EX13" s="73"/>
      <c r="EY13" s="73"/>
      <c r="EZ13" s="73"/>
      <c r="FA13" s="73"/>
      <c r="FB13" s="73"/>
      <c r="FC13" s="73"/>
      <c r="FD13" s="73"/>
      <c r="FE13" s="73"/>
      <c r="FF13" s="73"/>
      <c r="FG13" s="73"/>
      <c r="FH13" s="73"/>
      <c r="FI13" s="73"/>
      <c r="FJ13" s="73"/>
      <c r="FK13" s="73"/>
      <c r="FL13" s="73"/>
      <c r="FM13" s="73"/>
      <c r="FN13" s="73"/>
      <c r="FO13" s="73"/>
      <c r="FP13" s="73"/>
      <c r="FQ13" s="73"/>
      <c r="FR13" s="73"/>
      <c r="FS13" s="73"/>
      <c r="FT13" s="73"/>
      <c r="FU13" s="73"/>
      <c r="FV13" s="73"/>
      <c r="FW13" s="73"/>
      <c r="FX13" s="73"/>
      <c r="FY13" s="73"/>
      <c r="FZ13" s="73"/>
      <c r="GA13" s="73"/>
      <c r="GB13" s="73"/>
      <c r="GC13" s="73"/>
      <c r="GD13" s="73"/>
      <c r="GE13" s="73"/>
      <c r="GF13" s="73"/>
      <c r="GG13" s="73"/>
      <c r="GH13" s="73"/>
      <c r="GI13" s="73"/>
      <c r="GJ13" s="73"/>
      <c r="GK13" s="73"/>
      <c r="GL13" s="73"/>
      <c r="GM13" s="73"/>
      <c r="GN13" s="73"/>
      <c r="GO13" s="73"/>
      <c r="GP13" s="73"/>
      <c r="GQ13" s="73"/>
      <c r="GR13" s="73"/>
      <c r="GS13" s="73"/>
      <c r="GT13" s="73"/>
      <c r="GU13" s="73"/>
      <c r="GV13" s="73"/>
      <c r="GW13" s="73"/>
      <c r="GX13" s="73"/>
      <c r="GY13" s="73"/>
      <c r="GZ13" s="73"/>
      <c r="HA13" s="73"/>
      <c r="HB13" s="73"/>
      <c r="HC13" s="73"/>
      <c r="HD13" s="73"/>
      <c r="HE13" s="73"/>
      <c r="HF13" s="73"/>
      <c r="HG13" s="73"/>
      <c r="HH13" s="73"/>
      <c r="HI13" s="73"/>
      <c r="HJ13" s="73"/>
      <c r="HK13" s="73"/>
      <c r="HL13" s="73"/>
      <c r="HM13" s="73"/>
      <c r="HN13" s="73"/>
      <c r="HO13" s="73"/>
      <c r="HP13" s="73"/>
      <c r="HQ13" s="73"/>
      <c r="HR13" s="73"/>
      <c r="HS13" s="73"/>
      <c r="HT13" s="73"/>
      <c r="HU13" s="73"/>
      <c r="HV13" s="73"/>
      <c r="HW13" s="73"/>
      <c r="HX13" s="73"/>
      <c r="HY13" s="73"/>
      <c r="HZ13" s="73"/>
      <c r="IA13" s="73"/>
      <c r="IB13" s="73"/>
      <c r="IC13" s="73"/>
      <c r="ID13" s="73"/>
      <c r="IE13" s="73"/>
      <c r="IF13" s="73"/>
      <c r="IG13" s="73"/>
      <c r="IH13" s="73"/>
    </row>
    <row r="14" spans="1:242" ht="18" customHeight="1" x14ac:dyDescent="0.25">
      <c r="A14" s="4">
        <v>14</v>
      </c>
      <c r="B14" s="405" t="s">
        <v>520</v>
      </c>
      <c r="C14" s="170">
        <f>'D1. Member Months'!D11</f>
        <v>68089</v>
      </c>
      <c r="D14" s="93">
        <f>'D3. Actual Waiver Cost'!K27</f>
        <v>1384.0588758383465</v>
      </c>
      <c r="E14" s="94">
        <f>'D3. Actual Waiver Cost'!L27</f>
        <v>0</v>
      </c>
      <c r="F14" s="94">
        <f>'D3. Actual Waiver Cost'!M27</f>
        <v>0</v>
      </c>
      <c r="G14" s="94">
        <f>'D3. Actual Waiver Cost'!N14</f>
        <v>37.228633859146228</v>
      </c>
      <c r="H14" s="161">
        <f>'D3. Actual Waiver Cost'!O27</f>
        <v>1384.0588758383465</v>
      </c>
      <c r="I14" s="156">
        <f>D14</f>
        <v>1384.0588758383465</v>
      </c>
      <c r="J14" s="415">
        <f>'D4. Adjustments in Projection'!I21</f>
        <v>3.054525311171008E-2</v>
      </c>
      <c r="K14" s="94">
        <f>J14*I14</f>
        <v>42.276428683991206</v>
      </c>
      <c r="L14" s="415"/>
      <c r="M14" s="94">
        <f>(I14+K14)*(L14)</f>
        <v>0</v>
      </c>
      <c r="N14" s="94">
        <f>K14+M14</f>
        <v>42.276428683991206</v>
      </c>
      <c r="O14" s="157">
        <f>I14+N14</f>
        <v>1426.3353045223378</v>
      </c>
      <c r="P14" s="156">
        <f>E14</f>
        <v>0</v>
      </c>
      <c r="Q14" s="415"/>
      <c r="R14" s="94">
        <f>Q14*P14</f>
        <v>0</v>
      </c>
      <c r="S14" s="183">
        <f>P14+R14</f>
        <v>0</v>
      </c>
      <c r="T14" s="156">
        <f>F14</f>
        <v>0</v>
      </c>
      <c r="U14" s="415"/>
      <c r="V14" s="94">
        <f>T14*U14</f>
        <v>0</v>
      </c>
      <c r="W14" s="183">
        <f>V14+T14</f>
        <v>0</v>
      </c>
      <c r="X14" s="156">
        <f t="shared" ref="X14:X15" si="0">G14</f>
        <v>37.228633859146228</v>
      </c>
      <c r="Y14" s="537">
        <f t="shared" ref="Y14:Y16" si="1">1.02^2-1</f>
        <v>4.0399999999999991E-2</v>
      </c>
      <c r="Z14" s="94">
        <f>Y14*X14</f>
        <v>1.5040368079095072</v>
      </c>
      <c r="AA14" s="183">
        <f>Z14+X14</f>
        <v>38.732670667055736</v>
      </c>
      <c r="AB14" s="189">
        <f>AA14+W14+S14+O14</f>
        <v>1465.0679751893936</v>
      </c>
      <c r="AC14" s="73"/>
      <c r="AD14" s="73"/>
      <c r="AE14" s="73"/>
      <c r="AF14" s="73"/>
      <c r="AG14" s="73"/>
      <c r="AH14" s="73"/>
      <c r="AI14" s="73"/>
      <c r="AJ14" s="73"/>
      <c r="AK14" s="73"/>
      <c r="AL14" s="73"/>
      <c r="AM14" s="73"/>
      <c r="AN14" s="73"/>
      <c r="AO14" s="73"/>
      <c r="AP14" s="73"/>
      <c r="AQ14" s="73"/>
      <c r="AR14" s="73"/>
      <c r="AS14" s="73"/>
      <c r="AT14" s="73"/>
      <c r="AU14" s="73"/>
      <c r="AV14" s="73"/>
      <c r="AW14" s="73"/>
      <c r="AX14" s="73"/>
      <c r="AY14" s="73"/>
      <c r="AZ14" s="73"/>
      <c r="BA14" s="73"/>
      <c r="BB14" s="73"/>
      <c r="BC14" s="73"/>
      <c r="BD14" s="73"/>
      <c r="BE14" s="73"/>
      <c r="BF14" s="73"/>
      <c r="BG14" s="73"/>
      <c r="BH14" s="73"/>
      <c r="BI14" s="73"/>
      <c r="BJ14" s="73"/>
      <c r="BK14" s="73"/>
      <c r="BL14" s="73"/>
      <c r="BM14" s="73"/>
      <c r="BN14" s="73"/>
      <c r="BO14" s="73"/>
      <c r="BP14" s="73"/>
      <c r="BQ14" s="73"/>
      <c r="BR14" s="73"/>
      <c r="BS14" s="73"/>
      <c r="BT14" s="73"/>
      <c r="BU14" s="73"/>
      <c r="BV14" s="73"/>
      <c r="BW14" s="73"/>
      <c r="BX14" s="73"/>
      <c r="BY14" s="73"/>
      <c r="BZ14" s="73"/>
      <c r="CA14" s="73"/>
      <c r="CB14" s="73"/>
      <c r="CC14" s="73"/>
      <c r="CD14" s="73"/>
      <c r="CE14" s="73"/>
      <c r="CF14" s="73"/>
      <c r="CG14" s="73"/>
      <c r="CH14" s="73"/>
      <c r="CI14" s="73"/>
      <c r="CJ14" s="73"/>
      <c r="CK14" s="73"/>
      <c r="CL14" s="73"/>
      <c r="CM14" s="73"/>
      <c r="CN14" s="73"/>
      <c r="CO14" s="73"/>
      <c r="CP14" s="73"/>
      <c r="CQ14" s="73"/>
      <c r="CR14" s="73"/>
      <c r="CS14" s="73"/>
      <c r="CT14" s="73"/>
      <c r="CU14" s="73"/>
      <c r="CV14" s="73"/>
      <c r="CW14" s="73"/>
      <c r="CX14" s="73"/>
      <c r="CY14" s="73"/>
      <c r="CZ14" s="73"/>
      <c r="DA14" s="73"/>
      <c r="DB14" s="73"/>
      <c r="DC14" s="73"/>
      <c r="DD14" s="73"/>
      <c r="DE14" s="73"/>
      <c r="DF14" s="73"/>
      <c r="DG14" s="73"/>
      <c r="DH14" s="73"/>
      <c r="DI14" s="73"/>
      <c r="DJ14" s="73"/>
      <c r="DK14" s="73"/>
      <c r="DL14" s="73"/>
      <c r="DM14" s="73"/>
      <c r="DN14" s="73"/>
      <c r="DO14" s="73"/>
      <c r="DP14" s="73"/>
      <c r="DQ14" s="73"/>
      <c r="DR14" s="73"/>
      <c r="DS14" s="73"/>
      <c r="DT14" s="73"/>
      <c r="DU14" s="73"/>
      <c r="DV14" s="73"/>
      <c r="DW14" s="73"/>
      <c r="DX14" s="73"/>
      <c r="DY14" s="73"/>
      <c r="DZ14" s="73"/>
      <c r="EA14" s="73"/>
      <c r="EB14" s="73"/>
      <c r="EC14" s="73"/>
      <c r="ED14" s="73"/>
      <c r="EE14" s="73"/>
      <c r="EF14" s="73"/>
      <c r="EG14" s="73"/>
      <c r="EH14" s="73"/>
      <c r="EI14" s="73"/>
      <c r="EJ14" s="73"/>
      <c r="EK14" s="73"/>
      <c r="EL14" s="73"/>
      <c r="EM14" s="73"/>
      <c r="EN14" s="73"/>
      <c r="EO14" s="73"/>
      <c r="EP14" s="73"/>
      <c r="EQ14" s="73"/>
      <c r="ER14" s="73"/>
      <c r="ES14" s="73"/>
      <c r="ET14" s="73"/>
      <c r="EU14" s="73"/>
      <c r="EV14" s="73"/>
      <c r="EW14" s="73"/>
      <c r="EX14" s="73"/>
      <c r="EY14" s="73"/>
      <c r="EZ14" s="73"/>
      <c r="FA14" s="73"/>
      <c r="FB14" s="73"/>
      <c r="FC14" s="73"/>
      <c r="FD14" s="73"/>
      <c r="FE14" s="73"/>
      <c r="FF14" s="73"/>
      <c r="FG14" s="73"/>
      <c r="FH14" s="73"/>
      <c r="FI14" s="73"/>
      <c r="FJ14" s="73"/>
      <c r="FK14" s="73"/>
      <c r="FL14" s="73"/>
      <c r="FM14" s="73"/>
      <c r="FN14" s="73"/>
      <c r="FO14" s="73"/>
      <c r="FP14" s="73"/>
      <c r="FQ14" s="73"/>
      <c r="FR14" s="73"/>
      <c r="FS14" s="73"/>
      <c r="FT14" s="73"/>
      <c r="FU14" s="73"/>
      <c r="FV14" s="73"/>
      <c r="FW14" s="73"/>
      <c r="FX14" s="73"/>
      <c r="FY14" s="73"/>
      <c r="FZ14" s="73"/>
      <c r="GA14" s="73"/>
      <c r="GB14" s="73"/>
      <c r="GC14" s="73"/>
      <c r="GD14" s="73"/>
      <c r="GE14" s="73"/>
      <c r="GF14" s="73"/>
      <c r="GG14" s="73"/>
      <c r="GH14" s="73"/>
      <c r="GI14" s="73"/>
      <c r="GJ14" s="73"/>
      <c r="GK14" s="73"/>
      <c r="GL14" s="73"/>
      <c r="GM14" s="73"/>
      <c r="GN14" s="73"/>
      <c r="GO14" s="73"/>
      <c r="GP14" s="73"/>
      <c r="GQ14" s="73"/>
      <c r="GR14" s="73"/>
      <c r="GS14" s="73"/>
      <c r="GT14" s="73"/>
      <c r="GU14" s="73"/>
      <c r="GV14" s="73"/>
      <c r="GW14" s="73"/>
      <c r="GX14" s="73"/>
      <c r="GY14" s="73"/>
      <c r="GZ14" s="73"/>
      <c r="HA14" s="73"/>
      <c r="HB14" s="73"/>
      <c r="HC14" s="73"/>
      <c r="HD14" s="73"/>
      <c r="HE14" s="73"/>
      <c r="HF14" s="73"/>
      <c r="HG14" s="73"/>
      <c r="HH14" s="73"/>
      <c r="HI14" s="73"/>
      <c r="HJ14" s="73"/>
      <c r="HK14" s="73"/>
      <c r="HL14" s="73"/>
      <c r="HM14" s="73"/>
      <c r="HN14" s="73"/>
      <c r="HO14" s="73"/>
      <c r="HP14" s="73"/>
      <c r="HQ14" s="73"/>
      <c r="HR14" s="73"/>
      <c r="HS14" s="73"/>
      <c r="HT14" s="73"/>
      <c r="HU14" s="73"/>
      <c r="HV14" s="73"/>
      <c r="HW14" s="73"/>
      <c r="HX14" s="73"/>
      <c r="HY14" s="73"/>
      <c r="HZ14" s="73"/>
      <c r="IA14" s="73"/>
      <c r="IB14" s="73"/>
      <c r="IC14" s="73"/>
      <c r="ID14" s="73"/>
      <c r="IE14" s="73"/>
      <c r="IF14" s="73"/>
      <c r="IG14" s="73"/>
      <c r="IH14" s="73"/>
    </row>
    <row r="15" spans="1:242" ht="18" customHeight="1" x14ac:dyDescent="0.25">
      <c r="A15" s="4">
        <v>15</v>
      </c>
      <c r="B15" s="405" t="s">
        <v>521</v>
      </c>
      <c r="C15" s="170">
        <f>'D1. Member Months'!D12</f>
        <v>40023</v>
      </c>
      <c r="D15" s="93">
        <f>'D3. Actual Waiver Cost'!K28</f>
        <v>3400.1135271892636</v>
      </c>
      <c r="E15" s="94">
        <f>'D3. Actual Waiver Cost'!L28</f>
        <v>0</v>
      </c>
      <c r="F15" s="94">
        <f>'D3. Actual Waiver Cost'!M28</f>
        <v>0</v>
      </c>
      <c r="G15" s="94">
        <f>'D3. Actual Waiver Cost'!N15</f>
        <v>37.042865568130622</v>
      </c>
      <c r="H15" s="161">
        <f>'D3. Actual Waiver Cost'!O28</f>
        <v>3400.1135271892636</v>
      </c>
      <c r="I15" s="156">
        <f>D15</f>
        <v>3400.1135271892636</v>
      </c>
      <c r="J15" s="415">
        <f>'D4. Adjustments in Projection'!I22</f>
        <v>3.1078444112702774E-2</v>
      </c>
      <c r="K15" s="94">
        <f>J15*I15</f>
        <v>105.67023823159623</v>
      </c>
      <c r="L15" s="415"/>
      <c r="M15" s="94">
        <f>(I15+K15)*(L15)</f>
        <v>0</v>
      </c>
      <c r="N15" s="94">
        <f>K15+M15</f>
        <v>105.67023823159623</v>
      </c>
      <c r="O15" s="157">
        <f>I15+N15</f>
        <v>3505.7837654208597</v>
      </c>
      <c r="P15" s="156">
        <f>E15</f>
        <v>0</v>
      </c>
      <c r="Q15" s="415"/>
      <c r="R15" s="94">
        <f>Q15*P15</f>
        <v>0</v>
      </c>
      <c r="S15" s="183">
        <f>P15+R15</f>
        <v>0</v>
      </c>
      <c r="T15" s="156">
        <f>F15</f>
        <v>0</v>
      </c>
      <c r="U15" s="415"/>
      <c r="V15" s="94">
        <f>T15*U15</f>
        <v>0</v>
      </c>
      <c r="W15" s="183">
        <f>V15+T15</f>
        <v>0</v>
      </c>
      <c r="X15" s="156">
        <f t="shared" si="0"/>
        <v>37.042865568130622</v>
      </c>
      <c r="Y15" s="537">
        <f t="shared" si="1"/>
        <v>4.0399999999999991E-2</v>
      </c>
      <c r="Z15" s="94">
        <f>Y15*X15</f>
        <v>1.4965317689524769</v>
      </c>
      <c r="AA15" s="183">
        <f>Z15+X15</f>
        <v>38.539397337083102</v>
      </c>
      <c r="AB15" s="189">
        <f>AA15+W15+S15+O15</f>
        <v>3544.323162757943</v>
      </c>
    </row>
    <row r="16" spans="1:242" ht="18" customHeight="1" thickBot="1" x14ac:dyDescent="0.3">
      <c r="A16" s="4">
        <v>16</v>
      </c>
      <c r="B16" s="405" t="s">
        <v>546</v>
      </c>
      <c r="C16" s="170">
        <f>'D1. Member Months'!D13</f>
        <v>219495</v>
      </c>
      <c r="D16" s="178">
        <f>'D3. Actual Waiver Cost'!K29</f>
        <v>354.5735195374362</v>
      </c>
      <c r="E16" s="179">
        <f>'D3. Actual Waiver Cost'!L29</f>
        <v>0</v>
      </c>
      <c r="F16" s="179">
        <f>'D3. Actual Waiver Cost'!M29</f>
        <v>0</v>
      </c>
      <c r="G16" s="179">
        <f>'D3. Actual Waiver Cost'!N16</f>
        <v>6.2251408439173215</v>
      </c>
      <c r="H16" s="180">
        <f>'D3. Actual Waiver Cost'!O29</f>
        <v>354.5735195374362</v>
      </c>
      <c r="I16" s="181">
        <f>D16</f>
        <v>354.5735195374362</v>
      </c>
      <c r="J16" s="417">
        <v>4.7567190511073054E-3</v>
      </c>
      <c r="K16" s="179">
        <f>J16*I16</f>
        <v>1.6866066154018911</v>
      </c>
      <c r="L16" s="417"/>
      <c r="M16" s="179">
        <f>(I16+K16)*(L16)</f>
        <v>0</v>
      </c>
      <c r="N16" s="179">
        <f>K16+M16</f>
        <v>1.6866066154018911</v>
      </c>
      <c r="O16" s="182">
        <f>I16+N16</f>
        <v>356.2601261528381</v>
      </c>
      <c r="P16" s="181">
        <f>E16</f>
        <v>0</v>
      </c>
      <c r="Q16" s="418"/>
      <c r="R16" s="179">
        <f>Q16*P16</f>
        <v>0</v>
      </c>
      <c r="S16" s="184">
        <f>P16+R16</f>
        <v>0</v>
      </c>
      <c r="T16" s="181">
        <f>F16</f>
        <v>0</v>
      </c>
      <c r="U16" s="418"/>
      <c r="V16" s="179">
        <f>T16*U16</f>
        <v>0</v>
      </c>
      <c r="W16" s="184">
        <f>V16+T16</f>
        <v>0</v>
      </c>
      <c r="X16" s="181">
        <f>G16</f>
        <v>6.2251408439173215</v>
      </c>
      <c r="Y16" s="537">
        <f t="shared" si="1"/>
        <v>4.0399999999999991E-2</v>
      </c>
      <c r="Z16" s="179">
        <f>Y16*X16</f>
        <v>0.25149569009425976</v>
      </c>
      <c r="AA16" s="184">
        <f>Z16+X16</f>
        <v>6.4766365340115808</v>
      </c>
      <c r="AB16" s="190">
        <f>AA16+W16+S16+O16</f>
        <v>362.73676268684966</v>
      </c>
    </row>
    <row r="17" spans="1:242" s="80" customFormat="1" ht="18" customHeight="1" thickTop="1" x14ac:dyDescent="0.25">
      <c r="A17" s="4">
        <v>17</v>
      </c>
      <c r="B17" s="473" t="s">
        <v>159</v>
      </c>
      <c r="C17" s="171">
        <f>SUM(C13:C16)</f>
        <v>347031</v>
      </c>
      <c r="D17" s="172"/>
      <c r="E17" s="173"/>
      <c r="F17" s="173"/>
      <c r="G17" s="173"/>
      <c r="H17" s="174"/>
      <c r="I17" s="175"/>
      <c r="J17" s="173"/>
      <c r="K17" s="173"/>
      <c r="L17" s="173"/>
      <c r="M17" s="176"/>
      <c r="N17" s="196"/>
      <c r="O17" s="197"/>
      <c r="P17" s="175"/>
      <c r="Q17" s="177"/>
      <c r="R17" s="196"/>
      <c r="S17" s="198"/>
      <c r="T17" s="175"/>
      <c r="U17" s="177"/>
      <c r="V17" s="196"/>
      <c r="W17" s="198"/>
      <c r="X17" s="175"/>
      <c r="Y17" s="177"/>
      <c r="Z17" s="196"/>
      <c r="AA17" s="198"/>
      <c r="AB17" s="191"/>
    </row>
    <row r="18" spans="1:242" s="80" customFormat="1" ht="18" customHeight="1" thickBot="1" x14ac:dyDescent="0.3">
      <c r="A18" s="4">
        <v>18</v>
      </c>
      <c r="B18" s="254" t="s">
        <v>324</v>
      </c>
      <c r="C18" s="199"/>
      <c r="D18" s="165">
        <f>'D3. Actual Waiver Cost'!K31</f>
        <v>914.79296884516134</v>
      </c>
      <c r="E18" s="159">
        <f>'D3. Actual Waiver Cost'!L31</f>
        <v>0</v>
      </c>
      <c r="F18" s="159">
        <f>'D3. Actual Waiver Cost'!M31</f>
        <v>0</v>
      </c>
      <c r="G18" s="159">
        <f>'D3. Actual Waiver Cost'!N31</f>
        <v>0</v>
      </c>
      <c r="H18" s="163">
        <f>'D3. Actual Waiver Cost'!O31</f>
        <v>914.79296884516134</v>
      </c>
      <c r="I18" s="162">
        <f>D18</f>
        <v>914.79296884516134</v>
      </c>
      <c r="J18" s="158">
        <f>IF(I18=0,0,K18/I18)</f>
        <v>2.5178582524628141E-2</v>
      </c>
      <c r="K18" s="159">
        <f>SUMPRODUCT(K13:K16,$C$13:$C$16)/$C$17</f>
        <v>23.033190259017474</v>
      </c>
      <c r="L18" s="158">
        <f>M18/(I18+K18)</f>
        <v>0</v>
      </c>
      <c r="M18" s="159">
        <f>SUMPRODUCT(M13:M16,$C$13:$C$16)/$C$17</f>
        <v>0</v>
      </c>
      <c r="N18" s="159">
        <f>K18+M18</f>
        <v>23.033190259017474</v>
      </c>
      <c r="O18" s="200">
        <f>I18+N18</f>
        <v>937.82615910417883</v>
      </c>
      <c r="P18" s="162">
        <f>E18</f>
        <v>0</v>
      </c>
      <c r="Q18" s="158">
        <f>IF(P18=0,0,R18/P18)</f>
        <v>0</v>
      </c>
      <c r="R18" s="159">
        <f>SUMPRODUCT(R13:R16,$C$13:$C$16)/$C$17</f>
        <v>0</v>
      </c>
      <c r="S18" s="201">
        <f>P18+R18</f>
        <v>0</v>
      </c>
      <c r="T18" s="162">
        <f>F18</f>
        <v>0</v>
      </c>
      <c r="U18" s="158">
        <f>IF(T18=0,0,V18/T18)</f>
        <v>0</v>
      </c>
      <c r="V18" s="159">
        <f>SUMPRODUCT(V13:V16,$C$13:$C$16)/$C$17</f>
        <v>0</v>
      </c>
      <c r="W18" s="201">
        <f>V18+T18</f>
        <v>0</v>
      </c>
      <c r="X18" s="162">
        <f>G18</f>
        <v>0</v>
      </c>
      <c r="Y18" s="158">
        <f>IF(X18=0,0,Z18/X18)</f>
        <v>0</v>
      </c>
      <c r="Z18" s="159">
        <f>SUMPRODUCT(Z13:Z16,$C$13:$C$16)/$C$17</f>
        <v>0.64550134051407138</v>
      </c>
      <c r="AA18" s="201">
        <f>Z18+X18</f>
        <v>0.64550134051407138</v>
      </c>
      <c r="AB18" s="192">
        <f>AA18+W18+S18+O18</f>
        <v>938.47166044469293</v>
      </c>
    </row>
    <row r="19" spans="1:242" ht="18" customHeight="1" x14ac:dyDescent="0.25">
      <c r="A19" s="4">
        <v>19</v>
      </c>
      <c r="B19" s="8"/>
      <c r="J19" s="95"/>
      <c r="K19" s="95"/>
      <c r="L19" s="96"/>
      <c r="M19" s="97"/>
      <c r="N19" s="97"/>
      <c r="O19" s="244"/>
      <c r="P19" s="243"/>
      <c r="Q19" s="97"/>
      <c r="R19" s="97"/>
      <c r="S19" s="97"/>
      <c r="U19" s="97"/>
      <c r="V19" s="97"/>
      <c r="W19" s="97"/>
      <c r="Y19" s="97"/>
      <c r="Z19" s="97"/>
      <c r="AA19" s="97"/>
      <c r="AB19" s="98"/>
    </row>
    <row r="20" spans="1:242" ht="10.5" x14ac:dyDescent="0.25">
      <c r="A20" s="4">
        <v>20</v>
      </c>
      <c r="B20" s="99"/>
      <c r="C20" s="548" t="s">
        <v>229</v>
      </c>
      <c r="D20" s="548"/>
      <c r="E20" s="548"/>
      <c r="F20" s="548"/>
      <c r="G20" s="548"/>
      <c r="H20" s="548"/>
      <c r="I20" s="548"/>
      <c r="J20" s="548"/>
      <c r="K20" s="548"/>
      <c r="L20" s="548"/>
      <c r="M20" s="548"/>
      <c r="N20" s="548"/>
      <c r="O20" s="548"/>
      <c r="P20" s="100"/>
      <c r="Q20" s="97"/>
      <c r="R20" s="97"/>
      <c r="S20" s="97"/>
      <c r="T20" s="101"/>
      <c r="U20" s="97"/>
      <c r="V20" s="97"/>
      <c r="W20" s="97"/>
      <c r="X20" s="101"/>
      <c r="Y20" s="97"/>
      <c r="Z20" s="97"/>
      <c r="AA20" s="97"/>
      <c r="AB20" s="98"/>
    </row>
    <row r="21" spans="1:242" ht="10.5" x14ac:dyDescent="0.25">
      <c r="A21" s="4">
        <v>21</v>
      </c>
      <c r="B21" s="99"/>
      <c r="C21" s="8" t="s">
        <v>230</v>
      </c>
      <c r="P21" s="100"/>
      <c r="Q21" s="97"/>
      <c r="R21" s="97"/>
      <c r="S21" s="97"/>
      <c r="T21" s="101"/>
      <c r="U21" s="97"/>
      <c r="V21" s="97"/>
      <c r="W21" s="97"/>
      <c r="X21" s="101"/>
      <c r="Y21" s="97"/>
      <c r="Z21" s="97"/>
      <c r="AA21" s="97"/>
      <c r="AB21" s="98"/>
    </row>
    <row r="22" spans="1:242" ht="10.5" x14ac:dyDescent="0.25">
      <c r="A22" s="4">
        <v>22</v>
      </c>
      <c r="B22" s="99"/>
      <c r="C22" s="543" t="s">
        <v>202</v>
      </c>
      <c r="D22" s="543"/>
      <c r="E22" s="543"/>
      <c r="F22" s="543"/>
      <c r="G22" s="543"/>
      <c r="H22" s="543"/>
      <c r="I22" s="543"/>
      <c r="J22" s="543"/>
      <c r="K22" s="543"/>
      <c r="L22" s="543"/>
      <c r="M22" s="543"/>
      <c r="N22" s="543"/>
      <c r="O22" s="543"/>
      <c r="P22" s="100"/>
      <c r="Q22" s="97"/>
      <c r="R22" s="97"/>
      <c r="S22" s="97"/>
      <c r="T22" s="101"/>
      <c r="U22" s="97"/>
      <c r="V22" s="97"/>
      <c r="W22" s="97"/>
      <c r="X22" s="101"/>
      <c r="Y22" s="97"/>
      <c r="Z22" s="97"/>
      <c r="AA22" s="97"/>
      <c r="AB22" s="98"/>
    </row>
    <row r="23" spans="1:242" ht="18" customHeight="1" x14ac:dyDescent="0.25">
      <c r="A23" s="4">
        <v>23</v>
      </c>
      <c r="B23" s="102"/>
      <c r="C23" s="15"/>
      <c r="D23" s="15"/>
      <c r="E23" s="103"/>
      <c r="F23" s="10"/>
      <c r="G23" s="10"/>
      <c r="H23" s="10"/>
      <c r="I23" s="15"/>
      <c r="K23" s="95"/>
      <c r="L23" s="96"/>
      <c r="M23" s="97"/>
      <c r="P23" s="103"/>
      <c r="T23" s="10"/>
      <c r="X23" s="10"/>
      <c r="Y23" s="97"/>
      <c r="Z23" s="97"/>
      <c r="AA23" s="97"/>
    </row>
    <row r="24" spans="1:242" ht="18" customHeight="1" thickBot="1" x14ac:dyDescent="0.3">
      <c r="A24" s="4">
        <v>24</v>
      </c>
      <c r="F24" s="104"/>
      <c r="G24" s="104"/>
      <c r="H24" s="104"/>
      <c r="J24" s="95"/>
      <c r="K24" s="95"/>
      <c r="T24" s="104"/>
      <c r="X24" s="104"/>
    </row>
    <row r="25" spans="1:242" s="80" customFormat="1" ht="18" customHeight="1" x14ac:dyDescent="0.25">
      <c r="A25" s="4">
        <v>25</v>
      </c>
      <c r="B25" s="166"/>
      <c r="C25" s="167"/>
      <c r="D25" s="74" t="s">
        <v>160</v>
      </c>
      <c r="E25" s="74"/>
      <c r="F25" s="74"/>
      <c r="G25" s="74"/>
      <c r="H25" s="75"/>
      <c r="I25" s="76" t="s">
        <v>222</v>
      </c>
      <c r="J25" s="76"/>
      <c r="K25" s="76"/>
      <c r="L25" s="76"/>
      <c r="M25" s="76"/>
      <c r="N25" s="76"/>
      <c r="O25" s="154"/>
      <c r="P25" s="76" t="s">
        <v>224</v>
      </c>
      <c r="Q25" s="76"/>
      <c r="R25" s="77"/>
      <c r="S25" s="78"/>
      <c r="T25" s="76" t="s">
        <v>226</v>
      </c>
      <c r="U25" s="76"/>
      <c r="V25" s="77"/>
      <c r="W25" s="78"/>
      <c r="X25" s="76" t="s">
        <v>228</v>
      </c>
      <c r="Y25" s="76"/>
      <c r="Z25" s="77"/>
      <c r="AA25" s="78"/>
      <c r="AB25" s="185"/>
      <c r="AC25" s="79"/>
      <c r="AD25" s="79"/>
      <c r="AE25" s="79"/>
      <c r="AF25" s="79"/>
      <c r="AG25" s="79"/>
      <c r="AH25" s="79"/>
      <c r="AI25" s="79"/>
      <c r="AJ25" s="79"/>
      <c r="AK25" s="79"/>
      <c r="AL25" s="79"/>
      <c r="AM25" s="79"/>
      <c r="AN25" s="79"/>
      <c r="AO25" s="79"/>
      <c r="AP25" s="79"/>
      <c r="AQ25" s="79"/>
      <c r="AR25" s="79"/>
      <c r="AS25" s="79"/>
      <c r="AT25" s="79"/>
      <c r="AU25" s="79"/>
      <c r="AV25" s="79"/>
      <c r="AW25" s="79"/>
      <c r="AX25" s="79"/>
      <c r="AY25" s="79"/>
      <c r="AZ25" s="79"/>
      <c r="BA25" s="79"/>
      <c r="BB25" s="79"/>
      <c r="BC25" s="79"/>
      <c r="BD25" s="79"/>
      <c r="BE25" s="79"/>
      <c r="BF25" s="79"/>
      <c r="BG25" s="79"/>
      <c r="BH25" s="79"/>
      <c r="BI25" s="79"/>
      <c r="BJ25" s="79"/>
      <c r="BK25" s="79"/>
      <c r="BL25" s="79"/>
      <c r="BM25" s="79"/>
      <c r="BN25" s="79"/>
      <c r="BO25" s="79"/>
      <c r="BP25" s="79"/>
      <c r="BQ25" s="79"/>
      <c r="BR25" s="79"/>
      <c r="BS25" s="79"/>
      <c r="BT25" s="79"/>
      <c r="BU25" s="79"/>
      <c r="BV25" s="79"/>
      <c r="BW25" s="79"/>
      <c r="BX25" s="79"/>
      <c r="BY25" s="79"/>
      <c r="BZ25" s="79"/>
      <c r="CA25" s="79"/>
      <c r="CB25" s="79"/>
      <c r="CC25" s="79"/>
      <c r="CD25" s="79"/>
      <c r="CE25" s="79"/>
      <c r="CF25" s="79"/>
      <c r="CG25" s="79"/>
      <c r="CH25" s="79"/>
      <c r="CI25" s="79"/>
      <c r="CJ25" s="79"/>
      <c r="CK25" s="79"/>
      <c r="CL25" s="79"/>
      <c r="CM25" s="79"/>
      <c r="CN25" s="79"/>
      <c r="CO25" s="79"/>
      <c r="CP25" s="79"/>
      <c r="CQ25" s="79"/>
      <c r="CR25" s="79"/>
      <c r="CS25" s="79"/>
      <c r="CT25" s="79"/>
      <c r="CU25" s="79"/>
      <c r="CV25" s="79"/>
      <c r="CW25" s="79"/>
      <c r="CX25" s="79"/>
      <c r="CY25" s="79"/>
      <c r="CZ25" s="79"/>
      <c r="DA25" s="79"/>
      <c r="DB25" s="79"/>
      <c r="DC25" s="79"/>
      <c r="DD25" s="79"/>
      <c r="DE25" s="79"/>
      <c r="DF25" s="79"/>
      <c r="DG25" s="79"/>
      <c r="DH25" s="79"/>
      <c r="DI25" s="79"/>
      <c r="DJ25" s="79"/>
      <c r="DK25" s="79"/>
      <c r="DL25" s="79"/>
      <c r="DM25" s="79"/>
      <c r="DN25" s="79"/>
      <c r="DO25" s="79"/>
      <c r="DP25" s="79"/>
      <c r="DQ25" s="79"/>
      <c r="DR25" s="79"/>
      <c r="DS25" s="79"/>
      <c r="DT25" s="79"/>
      <c r="DU25" s="79"/>
      <c r="DV25" s="79"/>
      <c r="DW25" s="79"/>
      <c r="DX25" s="79"/>
      <c r="DY25" s="79"/>
      <c r="DZ25" s="79"/>
      <c r="EA25" s="79"/>
      <c r="EB25" s="79"/>
      <c r="EC25" s="79"/>
      <c r="ED25" s="79"/>
      <c r="EE25" s="79"/>
      <c r="EF25" s="79"/>
      <c r="EG25" s="79"/>
      <c r="EH25" s="79"/>
      <c r="EI25" s="79"/>
      <c r="EJ25" s="79"/>
      <c r="EK25" s="79"/>
      <c r="EL25" s="79"/>
      <c r="EM25" s="79"/>
      <c r="EN25" s="79"/>
      <c r="EO25" s="79"/>
      <c r="EP25" s="79"/>
      <c r="EQ25" s="79"/>
      <c r="ER25" s="79"/>
      <c r="ES25" s="79"/>
      <c r="ET25" s="79"/>
      <c r="EU25" s="79"/>
      <c r="EV25" s="79"/>
      <c r="EW25" s="79"/>
      <c r="EX25" s="79"/>
      <c r="EY25" s="79"/>
      <c r="EZ25" s="79"/>
      <c r="FA25" s="79"/>
      <c r="FB25" s="79"/>
      <c r="FC25" s="79"/>
      <c r="FD25" s="79"/>
      <c r="FE25" s="79"/>
      <c r="FF25" s="79"/>
      <c r="FG25" s="79"/>
      <c r="FH25" s="79"/>
      <c r="FI25" s="79"/>
      <c r="FJ25" s="79"/>
      <c r="FK25" s="79"/>
      <c r="FL25" s="79"/>
      <c r="FM25" s="79"/>
      <c r="FN25" s="79"/>
      <c r="FO25" s="79"/>
      <c r="FP25" s="79"/>
      <c r="FQ25" s="79"/>
      <c r="FR25" s="79"/>
      <c r="FS25" s="79"/>
      <c r="FT25" s="79"/>
      <c r="FU25" s="79"/>
      <c r="FV25" s="79"/>
      <c r="FW25" s="79"/>
      <c r="FX25" s="79"/>
      <c r="FY25" s="79"/>
      <c r="FZ25" s="79"/>
      <c r="GA25" s="79"/>
      <c r="GB25" s="79"/>
      <c r="GC25" s="79"/>
      <c r="GD25" s="79"/>
      <c r="GE25" s="79"/>
      <c r="GF25" s="79"/>
      <c r="GG25" s="79"/>
      <c r="GH25" s="79"/>
      <c r="GI25" s="79"/>
      <c r="GJ25" s="79"/>
      <c r="GK25" s="79"/>
      <c r="GL25" s="79"/>
      <c r="GM25" s="79"/>
      <c r="GN25" s="79"/>
      <c r="GO25" s="79"/>
      <c r="GP25" s="79"/>
      <c r="GQ25" s="79"/>
      <c r="GR25" s="79"/>
      <c r="GS25" s="79"/>
      <c r="GT25" s="79"/>
      <c r="GU25" s="79"/>
      <c r="GV25" s="79"/>
      <c r="GW25" s="79"/>
      <c r="GX25" s="79"/>
      <c r="GY25" s="79"/>
      <c r="GZ25" s="79"/>
      <c r="HA25" s="79"/>
      <c r="HB25" s="79"/>
      <c r="HC25" s="79"/>
      <c r="HD25" s="79"/>
      <c r="HE25" s="79"/>
      <c r="HF25" s="79"/>
      <c r="HG25" s="79"/>
      <c r="HH25" s="79"/>
      <c r="HI25" s="79"/>
      <c r="HJ25" s="79"/>
      <c r="HK25" s="79"/>
      <c r="HL25" s="79"/>
      <c r="HM25" s="79"/>
      <c r="HN25" s="79"/>
      <c r="HO25" s="79"/>
      <c r="HP25" s="79"/>
      <c r="HQ25" s="79"/>
      <c r="HR25" s="79"/>
      <c r="HS25" s="79"/>
      <c r="HT25" s="79"/>
      <c r="HU25" s="79"/>
      <c r="HV25" s="79"/>
      <c r="HW25" s="79"/>
      <c r="HX25" s="79"/>
      <c r="HY25" s="79"/>
      <c r="HZ25" s="79"/>
      <c r="IA25" s="79"/>
      <c r="IB25" s="79"/>
      <c r="IC25" s="79"/>
      <c r="ID25" s="79"/>
      <c r="IE25" s="79"/>
      <c r="IF25" s="79"/>
      <c r="IG25" s="79"/>
      <c r="IH25" s="79"/>
    </row>
    <row r="26" spans="1:242" s="31" customFormat="1" ht="21" x14ac:dyDescent="0.25">
      <c r="A26" s="4">
        <v>26</v>
      </c>
      <c r="B26" s="168" t="s">
        <v>72</v>
      </c>
      <c r="C26" s="87" t="s">
        <v>256</v>
      </c>
      <c r="D26" s="152" t="s">
        <v>161</v>
      </c>
      <c r="E26" s="82" t="s">
        <v>161</v>
      </c>
      <c r="F26" s="82" t="s">
        <v>161</v>
      </c>
      <c r="G26" s="82" t="s">
        <v>161</v>
      </c>
      <c r="H26" s="160" t="s">
        <v>161</v>
      </c>
      <c r="I26" s="81" t="s">
        <v>161</v>
      </c>
      <c r="J26" s="82" t="s">
        <v>78</v>
      </c>
      <c r="K26" s="82" t="s">
        <v>124</v>
      </c>
      <c r="L26" s="82" t="s">
        <v>125</v>
      </c>
      <c r="M26" s="82" t="s">
        <v>124</v>
      </c>
      <c r="N26" s="82" t="s">
        <v>126</v>
      </c>
      <c r="O26" s="83" t="s">
        <v>162</v>
      </c>
      <c r="P26" s="81" t="s">
        <v>161</v>
      </c>
      <c r="Q26" s="82" t="s">
        <v>128</v>
      </c>
      <c r="R26" s="82" t="s">
        <v>124</v>
      </c>
      <c r="S26" s="83" t="s">
        <v>162</v>
      </c>
      <c r="T26" s="81" t="s">
        <v>161</v>
      </c>
      <c r="U26" s="82" t="s">
        <v>129</v>
      </c>
      <c r="V26" s="82" t="s">
        <v>124</v>
      </c>
      <c r="W26" s="83" t="s">
        <v>162</v>
      </c>
      <c r="X26" s="314" t="s">
        <v>161</v>
      </c>
      <c r="Y26" s="82" t="s">
        <v>130</v>
      </c>
      <c r="Z26" s="82" t="s">
        <v>124</v>
      </c>
      <c r="AA26" s="83" t="s">
        <v>162</v>
      </c>
      <c r="AB26" s="186" t="s">
        <v>162</v>
      </c>
      <c r="AC26" s="84"/>
      <c r="AD26" s="84"/>
      <c r="AE26" s="84"/>
      <c r="AF26" s="84"/>
      <c r="AG26" s="84"/>
      <c r="AH26" s="84"/>
      <c r="AI26" s="84"/>
      <c r="AJ26" s="84"/>
      <c r="AK26" s="84"/>
      <c r="AL26" s="84"/>
      <c r="AM26" s="84"/>
      <c r="AN26" s="84"/>
      <c r="AO26" s="84"/>
      <c r="AP26" s="84"/>
      <c r="AQ26" s="84"/>
      <c r="AR26" s="84"/>
      <c r="AS26" s="84"/>
      <c r="AT26" s="84"/>
      <c r="AU26" s="84"/>
      <c r="AV26" s="84"/>
      <c r="AW26" s="84"/>
      <c r="AX26" s="84"/>
      <c r="AY26" s="84"/>
      <c r="AZ26" s="84"/>
      <c r="BA26" s="84"/>
      <c r="BB26" s="84"/>
      <c r="BC26" s="84"/>
      <c r="BD26" s="84"/>
      <c r="BE26" s="84"/>
      <c r="BF26" s="84"/>
      <c r="BG26" s="84"/>
      <c r="BH26" s="84"/>
      <c r="BI26" s="84"/>
      <c r="BJ26" s="84"/>
      <c r="BK26" s="84"/>
      <c r="BL26" s="84"/>
      <c r="BM26" s="84"/>
      <c r="BN26" s="84"/>
      <c r="BO26" s="84"/>
      <c r="BP26" s="84"/>
      <c r="BQ26" s="84"/>
      <c r="BR26" s="84"/>
      <c r="BS26" s="84"/>
      <c r="BT26" s="84"/>
      <c r="BU26" s="84"/>
      <c r="BV26" s="84"/>
      <c r="BW26" s="84"/>
      <c r="BX26" s="84"/>
      <c r="BY26" s="84"/>
      <c r="BZ26" s="84"/>
      <c r="CA26" s="84"/>
      <c r="CB26" s="84"/>
      <c r="CC26" s="84"/>
      <c r="CD26" s="84"/>
      <c r="CE26" s="84"/>
      <c r="CF26" s="84"/>
      <c r="CG26" s="84"/>
      <c r="CH26" s="84"/>
      <c r="CI26" s="84"/>
      <c r="CJ26" s="84"/>
      <c r="CK26" s="84"/>
      <c r="CL26" s="84"/>
      <c r="CM26" s="84"/>
      <c r="CN26" s="84"/>
      <c r="CO26" s="84"/>
      <c r="CP26" s="84"/>
      <c r="CQ26" s="84"/>
      <c r="CR26" s="84"/>
      <c r="CS26" s="84"/>
      <c r="CT26" s="84"/>
      <c r="CU26" s="84"/>
      <c r="CV26" s="84"/>
      <c r="CW26" s="84"/>
      <c r="CX26" s="84"/>
      <c r="CY26" s="84"/>
      <c r="CZ26" s="84"/>
      <c r="DA26" s="84"/>
      <c r="DB26" s="84"/>
      <c r="DC26" s="84"/>
      <c r="DD26" s="84"/>
      <c r="DE26" s="84"/>
      <c r="DF26" s="84"/>
      <c r="DG26" s="84"/>
      <c r="DH26" s="84"/>
      <c r="DI26" s="84"/>
      <c r="DJ26" s="84"/>
      <c r="DK26" s="84"/>
      <c r="DL26" s="84"/>
      <c r="DM26" s="84"/>
      <c r="DN26" s="84"/>
      <c r="DO26" s="84"/>
      <c r="DP26" s="84"/>
      <c r="DQ26" s="84"/>
      <c r="DR26" s="84"/>
      <c r="DS26" s="84"/>
      <c r="DT26" s="84"/>
      <c r="DU26" s="84"/>
      <c r="DV26" s="84"/>
      <c r="DW26" s="84"/>
      <c r="DX26" s="84"/>
      <c r="DY26" s="84"/>
      <c r="DZ26" s="84"/>
      <c r="EA26" s="84"/>
      <c r="EB26" s="84"/>
      <c r="EC26" s="84"/>
      <c r="ED26" s="84"/>
      <c r="EE26" s="84"/>
      <c r="EF26" s="84"/>
      <c r="EG26" s="84"/>
      <c r="EH26" s="84"/>
      <c r="EI26" s="84"/>
      <c r="EJ26" s="84"/>
      <c r="EK26" s="84"/>
      <c r="EL26" s="84"/>
      <c r="EM26" s="84"/>
      <c r="EN26" s="84"/>
      <c r="EO26" s="84"/>
      <c r="EP26" s="84"/>
      <c r="EQ26" s="84"/>
      <c r="ER26" s="84"/>
      <c r="ES26" s="84"/>
      <c r="ET26" s="84"/>
      <c r="EU26" s="84"/>
      <c r="EV26" s="84"/>
      <c r="EW26" s="84"/>
      <c r="EX26" s="84"/>
      <c r="EY26" s="84"/>
      <c r="EZ26" s="84"/>
      <c r="FA26" s="84"/>
      <c r="FB26" s="84"/>
      <c r="FC26" s="84"/>
      <c r="FD26" s="84"/>
      <c r="FE26" s="84"/>
      <c r="FF26" s="84"/>
      <c r="FG26" s="84"/>
      <c r="FH26" s="84"/>
      <c r="FI26" s="84"/>
      <c r="FJ26" s="84"/>
      <c r="FK26" s="84"/>
      <c r="FL26" s="84"/>
      <c r="FM26" s="84"/>
      <c r="FN26" s="84"/>
      <c r="FO26" s="84"/>
      <c r="FP26" s="84"/>
      <c r="FQ26" s="84"/>
      <c r="FR26" s="84"/>
      <c r="FS26" s="84"/>
      <c r="FT26" s="84"/>
      <c r="FU26" s="84"/>
      <c r="FV26" s="84"/>
      <c r="FW26" s="84"/>
      <c r="FX26" s="84"/>
      <c r="FY26" s="84"/>
      <c r="FZ26" s="84"/>
      <c r="GA26" s="84"/>
      <c r="GB26" s="84"/>
      <c r="GC26" s="84"/>
      <c r="GD26" s="84"/>
      <c r="GE26" s="84"/>
      <c r="GF26" s="84"/>
      <c r="GG26" s="84"/>
      <c r="GH26" s="84"/>
      <c r="GI26" s="84"/>
      <c r="GJ26" s="84"/>
      <c r="GK26" s="84"/>
      <c r="GL26" s="84"/>
      <c r="GM26" s="84"/>
      <c r="GN26" s="84"/>
      <c r="GO26" s="84"/>
      <c r="GP26" s="84"/>
      <c r="GQ26" s="84"/>
      <c r="GR26" s="84"/>
      <c r="GS26" s="84"/>
      <c r="GT26" s="84"/>
      <c r="GU26" s="84"/>
      <c r="GV26" s="84"/>
      <c r="GW26" s="84"/>
      <c r="GX26" s="84"/>
      <c r="GY26" s="84"/>
      <c r="GZ26" s="84"/>
      <c r="HA26" s="84"/>
      <c r="HB26" s="84"/>
      <c r="HC26" s="84"/>
      <c r="HD26" s="84"/>
      <c r="HE26" s="84"/>
      <c r="HF26" s="84"/>
      <c r="HG26" s="84"/>
      <c r="HH26" s="84"/>
      <c r="HI26" s="84"/>
      <c r="HJ26" s="84"/>
      <c r="HK26" s="84"/>
      <c r="HL26" s="84"/>
      <c r="HM26" s="84"/>
      <c r="HN26" s="84"/>
      <c r="HO26" s="84"/>
      <c r="HP26" s="84"/>
      <c r="HQ26" s="84"/>
      <c r="HR26" s="84"/>
      <c r="HS26" s="84"/>
      <c r="HT26" s="84"/>
      <c r="HU26" s="84"/>
      <c r="HV26" s="84"/>
      <c r="HW26" s="84"/>
      <c r="HX26" s="84"/>
      <c r="HY26" s="84"/>
      <c r="HZ26" s="84"/>
      <c r="IA26" s="84"/>
      <c r="IB26" s="84"/>
      <c r="IC26" s="84"/>
      <c r="ID26" s="84"/>
      <c r="IE26" s="84"/>
      <c r="IF26" s="84"/>
      <c r="IG26" s="84"/>
      <c r="IH26" s="84"/>
    </row>
    <row r="27" spans="1:242" s="31" customFormat="1" ht="18" customHeight="1" x14ac:dyDescent="0.25">
      <c r="A27" s="4">
        <v>27</v>
      </c>
      <c r="B27" s="168" t="s">
        <v>74</v>
      </c>
      <c r="C27" s="87" t="s">
        <v>257</v>
      </c>
      <c r="D27" s="153" t="s">
        <v>78</v>
      </c>
      <c r="E27" s="86" t="s">
        <v>81</v>
      </c>
      <c r="F27" s="86" t="s">
        <v>27</v>
      </c>
      <c r="G27" s="86" t="s">
        <v>82</v>
      </c>
      <c r="H27" s="87" t="s">
        <v>83</v>
      </c>
      <c r="I27" s="85" t="s">
        <v>136</v>
      </c>
      <c r="J27" s="86" t="s">
        <v>131</v>
      </c>
      <c r="K27" s="86" t="s">
        <v>132</v>
      </c>
      <c r="L27" s="86" t="s">
        <v>133</v>
      </c>
      <c r="M27" s="86" t="s">
        <v>134</v>
      </c>
      <c r="N27" s="86" t="s">
        <v>135</v>
      </c>
      <c r="O27" s="155" t="s">
        <v>136</v>
      </c>
      <c r="P27" s="85" t="s">
        <v>128</v>
      </c>
      <c r="Q27" s="86" t="s">
        <v>131</v>
      </c>
      <c r="R27" s="86" t="s">
        <v>132</v>
      </c>
      <c r="S27" s="87" t="s">
        <v>128</v>
      </c>
      <c r="T27" s="85" t="s">
        <v>137</v>
      </c>
      <c r="U27" s="86" t="s">
        <v>131</v>
      </c>
      <c r="V27" s="86" t="s">
        <v>132</v>
      </c>
      <c r="W27" s="87" t="s">
        <v>137</v>
      </c>
      <c r="X27" s="248" t="s">
        <v>138</v>
      </c>
      <c r="Y27" s="86" t="s">
        <v>131</v>
      </c>
      <c r="Z27" s="86" t="s">
        <v>132</v>
      </c>
      <c r="AA27" s="87" t="s">
        <v>138</v>
      </c>
      <c r="AB27" s="187" t="s">
        <v>139</v>
      </c>
      <c r="AC27" s="84"/>
      <c r="AD27" s="84"/>
      <c r="AE27" s="84"/>
      <c r="AF27" s="84"/>
      <c r="AG27" s="84"/>
      <c r="AH27" s="84"/>
      <c r="AI27" s="84"/>
      <c r="AJ27" s="84"/>
      <c r="AK27" s="84"/>
      <c r="AL27" s="84"/>
      <c r="AM27" s="84"/>
      <c r="AN27" s="84"/>
      <c r="AO27" s="84"/>
      <c r="AP27" s="84"/>
      <c r="AQ27" s="84"/>
      <c r="AR27" s="84"/>
      <c r="AS27" s="84"/>
      <c r="AT27" s="84"/>
      <c r="AU27" s="84"/>
      <c r="AV27" s="84"/>
      <c r="AW27" s="84"/>
      <c r="AX27" s="84"/>
      <c r="AY27" s="84"/>
      <c r="AZ27" s="84"/>
      <c r="BA27" s="84"/>
      <c r="BB27" s="84"/>
      <c r="BC27" s="84"/>
      <c r="BD27" s="84"/>
      <c r="BE27" s="84"/>
      <c r="BF27" s="84"/>
      <c r="BG27" s="84"/>
      <c r="BH27" s="84"/>
      <c r="BI27" s="84"/>
      <c r="BJ27" s="84"/>
      <c r="BK27" s="84"/>
      <c r="BL27" s="84"/>
      <c r="BM27" s="84"/>
      <c r="BN27" s="84"/>
      <c r="BO27" s="84"/>
      <c r="BP27" s="84"/>
      <c r="BQ27" s="84"/>
      <c r="BR27" s="84"/>
      <c r="BS27" s="84"/>
      <c r="BT27" s="84"/>
      <c r="BU27" s="84"/>
      <c r="BV27" s="84"/>
      <c r="BW27" s="84"/>
      <c r="BX27" s="84"/>
      <c r="BY27" s="84"/>
      <c r="BZ27" s="84"/>
      <c r="CA27" s="84"/>
      <c r="CB27" s="84"/>
      <c r="CC27" s="84"/>
      <c r="CD27" s="84"/>
      <c r="CE27" s="84"/>
      <c r="CF27" s="84"/>
      <c r="CG27" s="84"/>
      <c r="CH27" s="84"/>
      <c r="CI27" s="84"/>
      <c r="CJ27" s="84"/>
      <c r="CK27" s="84"/>
      <c r="CL27" s="84"/>
      <c r="CM27" s="84"/>
      <c r="CN27" s="84"/>
      <c r="CO27" s="84"/>
      <c r="CP27" s="84"/>
      <c r="CQ27" s="84"/>
      <c r="CR27" s="84"/>
      <c r="CS27" s="84"/>
      <c r="CT27" s="84"/>
      <c r="CU27" s="84"/>
      <c r="CV27" s="84"/>
      <c r="CW27" s="84"/>
      <c r="CX27" s="84"/>
      <c r="CY27" s="84"/>
      <c r="CZ27" s="84"/>
      <c r="DA27" s="84"/>
      <c r="DB27" s="84"/>
      <c r="DC27" s="84"/>
      <c r="DD27" s="84"/>
      <c r="DE27" s="84"/>
      <c r="DF27" s="84"/>
      <c r="DG27" s="84"/>
      <c r="DH27" s="84"/>
      <c r="DI27" s="84"/>
      <c r="DJ27" s="84"/>
      <c r="DK27" s="84"/>
      <c r="DL27" s="84"/>
      <c r="DM27" s="84"/>
      <c r="DN27" s="84"/>
      <c r="DO27" s="84"/>
      <c r="DP27" s="84"/>
      <c r="DQ27" s="84"/>
      <c r="DR27" s="84"/>
      <c r="DS27" s="84"/>
      <c r="DT27" s="84"/>
      <c r="DU27" s="84"/>
      <c r="DV27" s="84"/>
      <c r="DW27" s="84"/>
      <c r="DX27" s="84"/>
      <c r="DY27" s="84"/>
      <c r="DZ27" s="84"/>
      <c r="EA27" s="84"/>
      <c r="EB27" s="84"/>
      <c r="EC27" s="84"/>
      <c r="ED27" s="84"/>
      <c r="EE27" s="84"/>
      <c r="EF27" s="84"/>
      <c r="EG27" s="84"/>
      <c r="EH27" s="84"/>
      <c r="EI27" s="84"/>
      <c r="EJ27" s="84"/>
      <c r="EK27" s="84"/>
      <c r="EL27" s="84"/>
      <c r="EM27" s="84"/>
      <c r="EN27" s="84"/>
      <c r="EO27" s="84"/>
      <c r="EP27" s="84"/>
      <c r="EQ27" s="84"/>
      <c r="ER27" s="84"/>
      <c r="ES27" s="84"/>
      <c r="ET27" s="84"/>
      <c r="EU27" s="84"/>
      <c r="EV27" s="84"/>
      <c r="EW27" s="84"/>
      <c r="EX27" s="84"/>
      <c r="EY27" s="84"/>
      <c r="EZ27" s="84"/>
      <c r="FA27" s="84"/>
      <c r="FB27" s="84"/>
      <c r="FC27" s="84"/>
      <c r="FD27" s="84"/>
      <c r="FE27" s="84"/>
      <c r="FF27" s="84"/>
      <c r="FG27" s="84"/>
      <c r="FH27" s="84"/>
      <c r="FI27" s="84"/>
      <c r="FJ27" s="84"/>
      <c r="FK27" s="84"/>
      <c r="FL27" s="84"/>
      <c r="FM27" s="84"/>
      <c r="FN27" s="84"/>
      <c r="FO27" s="84"/>
      <c r="FP27" s="84"/>
      <c r="FQ27" s="84"/>
      <c r="FR27" s="84"/>
      <c r="FS27" s="84"/>
      <c r="FT27" s="84"/>
      <c r="FU27" s="84"/>
      <c r="FV27" s="84"/>
      <c r="FW27" s="84"/>
      <c r="FX27" s="84"/>
      <c r="FY27" s="84"/>
      <c r="FZ27" s="84"/>
      <c r="GA27" s="84"/>
      <c r="GB27" s="84"/>
      <c r="GC27" s="84"/>
      <c r="GD27" s="84"/>
      <c r="GE27" s="84"/>
      <c r="GF27" s="84"/>
      <c r="GG27" s="84"/>
      <c r="GH27" s="84"/>
      <c r="GI27" s="84"/>
      <c r="GJ27" s="84"/>
      <c r="GK27" s="84"/>
      <c r="GL27" s="84"/>
      <c r="GM27" s="84"/>
      <c r="GN27" s="84"/>
      <c r="GO27" s="84"/>
      <c r="GP27" s="84"/>
      <c r="GQ27" s="84"/>
      <c r="GR27" s="84"/>
      <c r="GS27" s="84"/>
      <c r="GT27" s="84"/>
      <c r="GU27" s="84"/>
      <c r="GV27" s="84"/>
      <c r="GW27" s="84"/>
      <c r="GX27" s="84"/>
      <c r="GY27" s="84"/>
      <c r="GZ27" s="84"/>
      <c r="HA27" s="84"/>
      <c r="HB27" s="84"/>
      <c r="HC27" s="84"/>
      <c r="HD27" s="84"/>
      <c r="HE27" s="84"/>
      <c r="HF27" s="84"/>
      <c r="HG27" s="84"/>
      <c r="HH27" s="84"/>
      <c r="HI27" s="84"/>
      <c r="HJ27" s="84"/>
      <c r="HK27" s="84"/>
      <c r="HL27" s="84"/>
      <c r="HM27" s="84"/>
      <c r="HN27" s="84"/>
      <c r="HO27" s="84"/>
      <c r="HP27" s="84"/>
      <c r="HQ27" s="84"/>
      <c r="HR27" s="84"/>
      <c r="HS27" s="84"/>
      <c r="HT27" s="84"/>
      <c r="HU27" s="84"/>
      <c r="HV27" s="84"/>
      <c r="HW27" s="84"/>
      <c r="HX27" s="84"/>
      <c r="HY27" s="84"/>
      <c r="HZ27" s="84"/>
      <c r="IA27" s="84"/>
      <c r="IB27" s="84"/>
      <c r="IC27" s="84"/>
      <c r="ID27" s="84"/>
      <c r="IE27" s="84"/>
      <c r="IF27" s="84"/>
      <c r="IG27" s="84"/>
      <c r="IH27" s="84"/>
    </row>
    <row r="28" spans="1:242" s="31" customFormat="1" ht="18" customHeight="1" x14ac:dyDescent="0.25">
      <c r="A28" s="4">
        <v>28</v>
      </c>
      <c r="B28" s="168"/>
      <c r="C28" s="290" t="s">
        <v>75</v>
      </c>
      <c r="D28" s="153" t="s">
        <v>87</v>
      </c>
      <c r="E28" s="86" t="s">
        <v>87</v>
      </c>
      <c r="F28" s="86" t="s">
        <v>87</v>
      </c>
      <c r="G28" s="86" t="s">
        <v>87</v>
      </c>
      <c r="H28" s="87" t="s">
        <v>231</v>
      </c>
      <c r="I28" s="85" t="s">
        <v>148</v>
      </c>
      <c r="J28" s="88" t="s">
        <v>164</v>
      </c>
      <c r="K28" s="86" t="s">
        <v>145</v>
      </c>
      <c r="L28" s="86" t="s">
        <v>146</v>
      </c>
      <c r="M28" s="86" t="s">
        <v>145</v>
      </c>
      <c r="N28" s="86" t="s">
        <v>147</v>
      </c>
      <c r="O28" s="155" t="s">
        <v>148</v>
      </c>
      <c r="P28" s="85" t="s">
        <v>149</v>
      </c>
      <c r="Q28" s="88" t="s">
        <v>164</v>
      </c>
      <c r="R28" s="86" t="s">
        <v>145</v>
      </c>
      <c r="S28" s="87" t="s">
        <v>149</v>
      </c>
      <c r="T28" s="85" t="s">
        <v>148</v>
      </c>
      <c r="U28" s="88" t="s">
        <v>164</v>
      </c>
      <c r="V28" s="86" t="s">
        <v>145</v>
      </c>
      <c r="W28" s="87" t="s">
        <v>148</v>
      </c>
      <c r="X28" s="248" t="s">
        <v>149</v>
      </c>
      <c r="Y28" s="88" t="s">
        <v>164</v>
      </c>
      <c r="Z28" s="86" t="s">
        <v>145</v>
      </c>
      <c r="AA28" s="87" t="s">
        <v>149</v>
      </c>
      <c r="AB28" s="187" t="s">
        <v>91</v>
      </c>
      <c r="AC28" s="84"/>
      <c r="AD28" s="84"/>
      <c r="AE28" s="84"/>
      <c r="AF28" s="84"/>
      <c r="AG28" s="84"/>
      <c r="AH28" s="84"/>
      <c r="AI28" s="84"/>
      <c r="AJ28" s="84"/>
      <c r="AK28" s="84"/>
      <c r="AL28" s="84"/>
      <c r="AM28" s="84"/>
      <c r="AN28" s="84"/>
      <c r="AO28" s="84"/>
      <c r="AP28" s="84"/>
      <c r="AQ28" s="84"/>
      <c r="AR28" s="84"/>
      <c r="AS28" s="84"/>
      <c r="AT28" s="84"/>
      <c r="AU28" s="84"/>
      <c r="AV28" s="84"/>
      <c r="AW28" s="84"/>
      <c r="AX28" s="84"/>
      <c r="AY28" s="84"/>
      <c r="AZ28" s="84"/>
      <c r="BA28" s="84"/>
      <c r="BB28" s="84"/>
      <c r="BC28" s="84"/>
      <c r="BD28" s="84"/>
      <c r="BE28" s="84"/>
      <c r="BF28" s="84"/>
      <c r="BG28" s="84"/>
      <c r="BH28" s="84"/>
      <c r="BI28" s="84"/>
      <c r="BJ28" s="84"/>
      <c r="BK28" s="84"/>
      <c r="BL28" s="84"/>
      <c r="BM28" s="84"/>
      <c r="BN28" s="84"/>
      <c r="BO28" s="84"/>
      <c r="BP28" s="84"/>
      <c r="BQ28" s="84"/>
      <c r="BR28" s="84"/>
      <c r="BS28" s="84"/>
      <c r="BT28" s="84"/>
      <c r="BU28" s="84"/>
      <c r="BV28" s="84"/>
      <c r="BW28" s="84"/>
      <c r="BX28" s="84"/>
      <c r="BY28" s="84"/>
      <c r="BZ28" s="84"/>
      <c r="CA28" s="84"/>
      <c r="CB28" s="84"/>
      <c r="CC28" s="84"/>
      <c r="CD28" s="84"/>
      <c r="CE28" s="84"/>
      <c r="CF28" s="84"/>
      <c r="CG28" s="84"/>
      <c r="CH28" s="84"/>
      <c r="CI28" s="84"/>
      <c r="CJ28" s="84"/>
      <c r="CK28" s="84"/>
      <c r="CL28" s="84"/>
      <c r="CM28" s="84"/>
      <c r="CN28" s="84"/>
      <c r="CO28" s="84"/>
      <c r="CP28" s="84"/>
      <c r="CQ28" s="84"/>
      <c r="CR28" s="84"/>
      <c r="CS28" s="84"/>
      <c r="CT28" s="84"/>
      <c r="CU28" s="84"/>
      <c r="CV28" s="84"/>
      <c r="CW28" s="84"/>
      <c r="CX28" s="84"/>
      <c r="CY28" s="84"/>
      <c r="CZ28" s="84"/>
      <c r="DA28" s="84"/>
      <c r="DB28" s="84"/>
      <c r="DC28" s="84"/>
      <c r="DD28" s="84"/>
      <c r="DE28" s="84"/>
      <c r="DF28" s="84"/>
      <c r="DG28" s="84"/>
      <c r="DH28" s="84"/>
      <c r="DI28" s="84"/>
      <c r="DJ28" s="84"/>
      <c r="DK28" s="84"/>
      <c r="DL28" s="84"/>
      <c r="DM28" s="84"/>
      <c r="DN28" s="84"/>
      <c r="DO28" s="84"/>
      <c r="DP28" s="84"/>
      <c r="DQ28" s="84"/>
      <c r="DR28" s="84"/>
      <c r="DS28" s="84"/>
      <c r="DT28" s="84"/>
      <c r="DU28" s="84"/>
      <c r="DV28" s="84"/>
      <c r="DW28" s="84"/>
      <c r="DX28" s="84"/>
      <c r="DY28" s="84"/>
      <c r="DZ28" s="84"/>
      <c r="EA28" s="84"/>
      <c r="EB28" s="84"/>
      <c r="EC28" s="84"/>
      <c r="ED28" s="84"/>
      <c r="EE28" s="84"/>
      <c r="EF28" s="84"/>
      <c r="EG28" s="84"/>
      <c r="EH28" s="84"/>
      <c r="EI28" s="84"/>
      <c r="EJ28" s="84"/>
      <c r="EK28" s="84"/>
      <c r="EL28" s="84"/>
      <c r="EM28" s="84"/>
      <c r="EN28" s="84"/>
      <c r="EO28" s="84"/>
      <c r="EP28" s="84"/>
      <c r="EQ28" s="84"/>
      <c r="ER28" s="84"/>
      <c r="ES28" s="84"/>
      <c r="ET28" s="84"/>
      <c r="EU28" s="84"/>
      <c r="EV28" s="84"/>
      <c r="EW28" s="84"/>
      <c r="EX28" s="84"/>
      <c r="EY28" s="84"/>
      <c r="EZ28" s="84"/>
      <c r="FA28" s="84"/>
      <c r="FB28" s="84"/>
      <c r="FC28" s="84"/>
      <c r="FD28" s="84"/>
      <c r="FE28" s="84"/>
      <c r="FF28" s="84"/>
      <c r="FG28" s="84"/>
      <c r="FH28" s="84"/>
      <c r="FI28" s="84"/>
      <c r="FJ28" s="84"/>
      <c r="FK28" s="84"/>
      <c r="FL28" s="84"/>
      <c r="FM28" s="84"/>
      <c r="FN28" s="84"/>
      <c r="FO28" s="84"/>
      <c r="FP28" s="84"/>
      <c r="FQ28" s="84"/>
      <c r="FR28" s="84"/>
      <c r="FS28" s="84"/>
      <c r="FT28" s="84"/>
      <c r="FU28" s="84"/>
      <c r="FV28" s="84"/>
      <c r="FW28" s="84"/>
      <c r="FX28" s="84"/>
      <c r="FY28" s="84"/>
      <c r="FZ28" s="84"/>
      <c r="GA28" s="84"/>
      <c r="GB28" s="84"/>
      <c r="GC28" s="84"/>
      <c r="GD28" s="84"/>
      <c r="GE28" s="84"/>
      <c r="GF28" s="84"/>
      <c r="GG28" s="84"/>
      <c r="GH28" s="84"/>
      <c r="GI28" s="84"/>
      <c r="GJ28" s="84"/>
      <c r="GK28" s="84"/>
      <c r="GL28" s="84"/>
      <c r="GM28" s="84"/>
      <c r="GN28" s="84"/>
      <c r="GO28" s="84"/>
      <c r="GP28" s="84"/>
      <c r="GQ28" s="84"/>
      <c r="GR28" s="84"/>
      <c r="GS28" s="84"/>
      <c r="GT28" s="84"/>
      <c r="GU28" s="84"/>
      <c r="GV28" s="84"/>
      <c r="GW28" s="84"/>
      <c r="GX28" s="84"/>
      <c r="GY28" s="84"/>
      <c r="GZ28" s="84"/>
      <c r="HA28" s="84"/>
      <c r="HB28" s="84"/>
      <c r="HC28" s="84"/>
      <c r="HD28" s="84"/>
      <c r="HE28" s="84"/>
      <c r="HF28" s="84"/>
      <c r="HG28" s="84"/>
      <c r="HH28" s="84"/>
      <c r="HI28" s="84"/>
      <c r="HJ28" s="84"/>
      <c r="HK28" s="84"/>
      <c r="HL28" s="84"/>
      <c r="HM28" s="84"/>
      <c r="HN28" s="84"/>
      <c r="HO28" s="84"/>
      <c r="HP28" s="84"/>
      <c r="HQ28" s="84"/>
      <c r="HR28" s="84"/>
      <c r="HS28" s="84"/>
      <c r="HT28" s="84"/>
      <c r="HU28" s="84"/>
      <c r="HV28" s="84"/>
      <c r="HW28" s="84"/>
      <c r="HX28" s="84"/>
      <c r="HY28" s="84"/>
      <c r="HZ28" s="84"/>
      <c r="IA28" s="84"/>
      <c r="IB28" s="84"/>
      <c r="IC28" s="84"/>
      <c r="ID28" s="84"/>
      <c r="IE28" s="84"/>
      <c r="IF28" s="84"/>
      <c r="IG28" s="84"/>
      <c r="IH28" s="84"/>
    </row>
    <row r="29" spans="1:242" ht="18" customHeight="1" x14ac:dyDescent="0.25">
      <c r="A29" s="4">
        <v>29</v>
      </c>
      <c r="B29" s="169"/>
      <c r="C29" s="304" t="s">
        <v>84</v>
      </c>
      <c r="D29" s="164" t="s">
        <v>165</v>
      </c>
      <c r="E29" s="89" t="s">
        <v>166</v>
      </c>
      <c r="F29" s="89" t="s">
        <v>197</v>
      </c>
      <c r="G29" s="89" t="s">
        <v>167</v>
      </c>
      <c r="H29" s="105" t="s">
        <v>168</v>
      </c>
      <c r="I29" s="92" t="s">
        <v>318</v>
      </c>
      <c r="J29" s="90" t="s">
        <v>150</v>
      </c>
      <c r="K29" s="90" t="s">
        <v>151</v>
      </c>
      <c r="L29" s="90" t="s">
        <v>150</v>
      </c>
      <c r="M29" s="90" t="s">
        <v>211</v>
      </c>
      <c r="N29" s="90" t="s">
        <v>152</v>
      </c>
      <c r="O29" s="91" t="s">
        <v>153</v>
      </c>
      <c r="P29" s="92" t="s">
        <v>319</v>
      </c>
      <c r="Q29" s="90" t="s">
        <v>150</v>
      </c>
      <c r="R29" s="90" t="s">
        <v>154</v>
      </c>
      <c r="S29" s="91" t="s">
        <v>155</v>
      </c>
      <c r="T29" s="92" t="s">
        <v>320</v>
      </c>
      <c r="U29" s="90" t="s">
        <v>150</v>
      </c>
      <c r="V29" s="90" t="s">
        <v>199</v>
      </c>
      <c r="W29" s="91" t="s">
        <v>156</v>
      </c>
      <c r="X29" s="315" t="s">
        <v>321</v>
      </c>
      <c r="Y29" s="90"/>
      <c r="Z29" s="90" t="s">
        <v>157</v>
      </c>
      <c r="AA29" s="91" t="s">
        <v>158</v>
      </c>
      <c r="AB29" s="188" t="s">
        <v>169</v>
      </c>
      <c r="AC29" s="73"/>
      <c r="AD29" s="73"/>
      <c r="AE29" s="73"/>
      <c r="AF29" s="73"/>
      <c r="AG29" s="73"/>
      <c r="AH29" s="73"/>
      <c r="AI29" s="73"/>
      <c r="AJ29" s="73"/>
      <c r="AK29" s="73"/>
      <c r="AL29" s="73"/>
      <c r="AM29" s="73"/>
      <c r="AN29" s="73"/>
      <c r="AO29" s="73"/>
      <c r="AP29" s="73"/>
      <c r="AQ29" s="73"/>
      <c r="AR29" s="73"/>
      <c r="AS29" s="73"/>
      <c r="AT29" s="73"/>
      <c r="AU29" s="73"/>
      <c r="AV29" s="73"/>
      <c r="AW29" s="73"/>
      <c r="AX29" s="73"/>
      <c r="AY29" s="73"/>
      <c r="AZ29" s="73"/>
      <c r="BA29" s="73"/>
      <c r="BB29" s="73"/>
      <c r="BC29" s="73"/>
      <c r="BD29" s="73"/>
      <c r="BE29" s="73"/>
      <c r="BF29" s="73"/>
      <c r="BG29" s="73"/>
      <c r="BH29" s="73"/>
      <c r="BI29" s="73"/>
      <c r="BJ29" s="73"/>
      <c r="BK29" s="73"/>
      <c r="BL29" s="73"/>
      <c r="BM29" s="73"/>
      <c r="BN29" s="73"/>
      <c r="BO29" s="73"/>
      <c r="BP29" s="73"/>
      <c r="BQ29" s="73"/>
      <c r="BR29" s="73"/>
      <c r="BS29" s="73"/>
      <c r="BT29" s="73"/>
      <c r="BU29" s="73"/>
      <c r="BV29" s="73"/>
      <c r="BW29" s="73"/>
      <c r="BX29" s="73"/>
      <c r="BY29" s="73"/>
      <c r="BZ29" s="73"/>
      <c r="CA29" s="73"/>
      <c r="CB29" s="73"/>
      <c r="CC29" s="73"/>
      <c r="CD29" s="73"/>
      <c r="CE29" s="73"/>
      <c r="CF29" s="73"/>
      <c r="CG29" s="73"/>
      <c r="CH29" s="73"/>
      <c r="CI29" s="73"/>
      <c r="CJ29" s="73"/>
      <c r="CK29" s="73"/>
      <c r="CL29" s="73"/>
      <c r="CM29" s="73"/>
      <c r="CN29" s="73"/>
      <c r="CO29" s="73"/>
      <c r="CP29" s="73"/>
      <c r="CQ29" s="73"/>
      <c r="CR29" s="73"/>
      <c r="CS29" s="73"/>
      <c r="CT29" s="73"/>
      <c r="CU29" s="73"/>
      <c r="CV29" s="73"/>
      <c r="CW29" s="73"/>
      <c r="CX29" s="73"/>
      <c r="CY29" s="73"/>
      <c r="CZ29" s="73"/>
      <c r="DA29" s="73"/>
      <c r="DB29" s="73"/>
      <c r="DC29" s="73"/>
      <c r="DD29" s="73"/>
      <c r="DE29" s="73"/>
      <c r="DF29" s="73"/>
      <c r="DG29" s="73"/>
      <c r="DH29" s="73"/>
      <c r="DI29" s="73"/>
      <c r="DJ29" s="73"/>
      <c r="DK29" s="73"/>
      <c r="DL29" s="73"/>
      <c r="DM29" s="73"/>
      <c r="DN29" s="73"/>
      <c r="DO29" s="73"/>
      <c r="DP29" s="73"/>
      <c r="DQ29" s="73"/>
      <c r="DR29" s="73"/>
      <c r="DS29" s="73"/>
      <c r="DT29" s="73"/>
      <c r="DU29" s="73"/>
      <c r="DV29" s="73"/>
      <c r="DW29" s="73"/>
      <c r="DX29" s="73"/>
      <c r="DY29" s="73"/>
      <c r="DZ29" s="73"/>
      <c r="EA29" s="73"/>
      <c r="EB29" s="73"/>
      <c r="EC29" s="73"/>
      <c r="ED29" s="73"/>
      <c r="EE29" s="73"/>
      <c r="EF29" s="73"/>
      <c r="EG29" s="73"/>
      <c r="EH29" s="73"/>
      <c r="EI29" s="73"/>
      <c r="EJ29" s="73"/>
      <c r="EK29" s="73"/>
      <c r="EL29" s="73"/>
      <c r="EM29" s="73"/>
      <c r="EN29" s="73"/>
      <c r="EO29" s="73"/>
      <c r="EP29" s="73"/>
      <c r="EQ29" s="73"/>
      <c r="ER29" s="73"/>
      <c r="ES29" s="73"/>
      <c r="ET29" s="73"/>
      <c r="EU29" s="73"/>
      <c r="EV29" s="73"/>
      <c r="EW29" s="73"/>
      <c r="EX29" s="73"/>
      <c r="EY29" s="73"/>
      <c r="EZ29" s="73"/>
      <c r="FA29" s="73"/>
      <c r="FB29" s="73"/>
      <c r="FC29" s="73"/>
      <c r="FD29" s="73"/>
      <c r="FE29" s="73"/>
      <c r="FF29" s="73"/>
      <c r="FG29" s="73"/>
      <c r="FH29" s="73"/>
      <c r="FI29" s="73"/>
      <c r="FJ29" s="73"/>
      <c r="FK29" s="73"/>
      <c r="FL29" s="73"/>
      <c r="FM29" s="73"/>
      <c r="FN29" s="73"/>
      <c r="FO29" s="73"/>
      <c r="FP29" s="73"/>
      <c r="FQ29" s="73"/>
      <c r="FR29" s="73"/>
      <c r="FS29" s="73"/>
      <c r="FT29" s="73"/>
      <c r="FU29" s="73"/>
      <c r="FV29" s="73"/>
      <c r="FW29" s="73"/>
      <c r="FX29" s="73"/>
      <c r="FY29" s="73"/>
      <c r="FZ29" s="73"/>
      <c r="GA29" s="73"/>
      <c r="GB29" s="73"/>
      <c r="GC29" s="73"/>
      <c r="GD29" s="73"/>
      <c r="GE29" s="73"/>
      <c r="GF29" s="73"/>
      <c r="GG29" s="73"/>
      <c r="GH29" s="73"/>
      <c r="GI29" s="73"/>
      <c r="GJ29" s="73"/>
      <c r="GK29" s="73"/>
      <c r="GL29" s="73"/>
      <c r="GM29" s="73"/>
      <c r="GN29" s="73"/>
      <c r="GO29" s="73"/>
      <c r="GP29" s="73"/>
      <c r="GQ29" s="73"/>
      <c r="GR29" s="73"/>
      <c r="GS29" s="73"/>
      <c r="GT29" s="73"/>
      <c r="GU29" s="73"/>
      <c r="GV29" s="73"/>
      <c r="GW29" s="73"/>
      <c r="GX29" s="73"/>
      <c r="GY29" s="73"/>
      <c r="GZ29" s="73"/>
      <c r="HA29" s="73"/>
      <c r="HB29" s="73"/>
      <c r="HC29" s="73"/>
      <c r="HD29" s="73"/>
      <c r="HE29" s="73"/>
      <c r="HF29" s="73"/>
      <c r="HG29" s="73"/>
      <c r="HH29" s="73"/>
      <c r="HI29" s="73"/>
      <c r="HJ29" s="73"/>
      <c r="HK29" s="73"/>
      <c r="HL29" s="73"/>
      <c r="HM29" s="73"/>
      <c r="HN29" s="73"/>
      <c r="HO29" s="73"/>
      <c r="HP29" s="73"/>
      <c r="HQ29" s="73"/>
      <c r="HR29" s="73"/>
      <c r="HS29" s="73"/>
      <c r="HT29" s="73"/>
      <c r="HU29" s="73"/>
      <c r="HV29" s="73"/>
      <c r="HW29" s="73"/>
      <c r="HX29" s="73"/>
      <c r="HY29" s="73"/>
      <c r="HZ29" s="73"/>
      <c r="IA29" s="73"/>
      <c r="IB29" s="73"/>
      <c r="IC29" s="73"/>
      <c r="ID29" s="73"/>
      <c r="IE29" s="73"/>
      <c r="IF29" s="73"/>
      <c r="IG29" s="73"/>
      <c r="IH29" s="73"/>
    </row>
    <row r="30" spans="1:242" ht="18" customHeight="1" x14ac:dyDescent="0.25">
      <c r="A30" s="4">
        <v>30</v>
      </c>
      <c r="B30" s="405" t="s">
        <v>519</v>
      </c>
      <c r="C30" s="170">
        <f>'D1. Member Months'!D10</f>
        <v>19424</v>
      </c>
      <c r="D30" s="93">
        <f>O13</f>
        <v>505.95681821996482</v>
      </c>
      <c r="E30" s="94">
        <f>S13</f>
        <v>0</v>
      </c>
      <c r="F30" s="94">
        <f>W13</f>
        <v>0</v>
      </c>
      <c r="G30" s="94">
        <f t="shared" ref="G30:H33" si="2">AA13</f>
        <v>8.6215585477728371</v>
      </c>
      <c r="H30" s="161">
        <f t="shared" si="2"/>
        <v>514.57837676773761</v>
      </c>
      <c r="I30" s="156">
        <f>D30</f>
        <v>505.95681821996482</v>
      </c>
      <c r="J30" s="537">
        <v>6.1699999999999998E-2</v>
      </c>
      <c r="K30" s="94">
        <f>J30*I30</f>
        <v>31.217535684171828</v>
      </c>
      <c r="L30" s="415"/>
      <c r="M30" s="94">
        <f>(I30+K30)*(L30)</f>
        <v>0</v>
      </c>
      <c r="N30" s="94">
        <f>K30+M30</f>
        <v>31.217535684171828</v>
      </c>
      <c r="O30" s="157">
        <f>N30+I30</f>
        <v>537.17435390413664</v>
      </c>
      <c r="P30" s="156">
        <f>E30</f>
        <v>0</v>
      </c>
      <c r="Q30" s="415"/>
      <c r="R30" s="94">
        <f>Q30*P30</f>
        <v>0</v>
      </c>
      <c r="S30" s="183">
        <f>P30+R30</f>
        <v>0</v>
      </c>
      <c r="T30" s="156">
        <f>F30</f>
        <v>0</v>
      </c>
      <c r="U30" s="415"/>
      <c r="V30" s="94">
        <f>T30*U30</f>
        <v>0</v>
      </c>
      <c r="W30" s="183">
        <f>V30+T30</f>
        <v>0</v>
      </c>
      <c r="X30" s="156">
        <f>G30</f>
        <v>8.6215585477728371</v>
      </c>
      <c r="Y30" s="415">
        <v>0.02</v>
      </c>
      <c r="Z30" s="94">
        <f>Y30*X30</f>
        <v>0.17243117095545674</v>
      </c>
      <c r="AA30" s="183">
        <f>Z30+X30</f>
        <v>8.7939897187282945</v>
      </c>
      <c r="AB30" s="189">
        <f>AA30+W30+S30+O30</f>
        <v>545.96834362286495</v>
      </c>
      <c r="AC30" s="73"/>
      <c r="AD30" s="73"/>
      <c r="AE30" s="73"/>
      <c r="AF30" s="73"/>
      <c r="AG30" s="73"/>
      <c r="AH30" s="73"/>
      <c r="AI30" s="73"/>
      <c r="AJ30" s="73"/>
      <c r="AK30" s="73"/>
      <c r="AL30" s="73"/>
      <c r="AM30" s="73"/>
      <c r="AN30" s="73"/>
      <c r="AO30" s="73"/>
      <c r="AP30" s="73"/>
      <c r="AQ30" s="73"/>
      <c r="AR30" s="73"/>
      <c r="AS30" s="73"/>
      <c r="AT30" s="73"/>
      <c r="AU30" s="73"/>
      <c r="AV30" s="73"/>
      <c r="AW30" s="73"/>
      <c r="AX30" s="73"/>
      <c r="AY30" s="73"/>
      <c r="AZ30" s="73"/>
      <c r="BA30" s="73"/>
      <c r="BB30" s="73"/>
      <c r="BC30" s="73"/>
      <c r="BD30" s="73"/>
      <c r="BE30" s="73"/>
      <c r="BF30" s="73"/>
      <c r="BG30" s="73"/>
      <c r="BH30" s="73"/>
      <c r="BI30" s="73"/>
      <c r="BJ30" s="73"/>
      <c r="BK30" s="73"/>
      <c r="BL30" s="73"/>
      <c r="BM30" s="73"/>
      <c r="BN30" s="73"/>
      <c r="BO30" s="73"/>
      <c r="BP30" s="73"/>
      <c r="BQ30" s="73"/>
      <c r="BR30" s="73"/>
      <c r="BS30" s="73"/>
      <c r="BT30" s="73"/>
      <c r="BU30" s="73"/>
      <c r="BV30" s="73"/>
      <c r="BW30" s="73"/>
      <c r="BX30" s="73"/>
      <c r="BY30" s="73"/>
      <c r="BZ30" s="73"/>
      <c r="CA30" s="73"/>
      <c r="CB30" s="73"/>
      <c r="CC30" s="73"/>
      <c r="CD30" s="73"/>
      <c r="CE30" s="73"/>
      <c r="CF30" s="73"/>
      <c r="CG30" s="73"/>
      <c r="CH30" s="73"/>
      <c r="CI30" s="73"/>
      <c r="CJ30" s="73"/>
      <c r="CK30" s="73"/>
      <c r="CL30" s="73"/>
      <c r="CM30" s="73"/>
      <c r="CN30" s="73"/>
      <c r="CO30" s="73"/>
      <c r="CP30" s="73"/>
      <c r="CQ30" s="73"/>
      <c r="CR30" s="73"/>
      <c r="CS30" s="73"/>
      <c r="CT30" s="73"/>
      <c r="CU30" s="73"/>
      <c r="CV30" s="73"/>
      <c r="CW30" s="73"/>
      <c r="CX30" s="73"/>
      <c r="CY30" s="73"/>
      <c r="CZ30" s="73"/>
      <c r="DA30" s="73"/>
      <c r="DB30" s="73"/>
      <c r="DC30" s="73"/>
      <c r="DD30" s="73"/>
      <c r="DE30" s="73"/>
      <c r="DF30" s="73"/>
      <c r="DG30" s="73"/>
      <c r="DH30" s="73"/>
      <c r="DI30" s="73"/>
      <c r="DJ30" s="73"/>
      <c r="DK30" s="73"/>
      <c r="DL30" s="73"/>
      <c r="DM30" s="73"/>
      <c r="DN30" s="73"/>
      <c r="DO30" s="73"/>
      <c r="DP30" s="73"/>
      <c r="DQ30" s="73"/>
      <c r="DR30" s="73"/>
      <c r="DS30" s="73"/>
      <c r="DT30" s="73"/>
      <c r="DU30" s="73"/>
      <c r="DV30" s="73"/>
      <c r="DW30" s="73"/>
      <c r="DX30" s="73"/>
      <c r="DY30" s="73"/>
      <c r="DZ30" s="73"/>
      <c r="EA30" s="73"/>
      <c r="EB30" s="73"/>
      <c r="EC30" s="73"/>
      <c r="ED30" s="73"/>
      <c r="EE30" s="73"/>
      <c r="EF30" s="73"/>
      <c r="EG30" s="73"/>
      <c r="EH30" s="73"/>
      <c r="EI30" s="73"/>
      <c r="EJ30" s="73"/>
      <c r="EK30" s="73"/>
      <c r="EL30" s="73"/>
      <c r="EM30" s="73"/>
      <c r="EN30" s="73"/>
      <c r="EO30" s="73"/>
      <c r="EP30" s="73"/>
      <c r="EQ30" s="73"/>
      <c r="ER30" s="73"/>
      <c r="ES30" s="73"/>
      <c r="ET30" s="73"/>
      <c r="EU30" s="73"/>
      <c r="EV30" s="73"/>
      <c r="EW30" s="73"/>
      <c r="EX30" s="73"/>
      <c r="EY30" s="73"/>
      <c r="EZ30" s="73"/>
      <c r="FA30" s="73"/>
      <c r="FB30" s="73"/>
      <c r="FC30" s="73"/>
      <c r="FD30" s="73"/>
      <c r="FE30" s="73"/>
      <c r="FF30" s="73"/>
      <c r="FG30" s="73"/>
      <c r="FH30" s="73"/>
      <c r="FI30" s="73"/>
      <c r="FJ30" s="73"/>
      <c r="FK30" s="73"/>
      <c r="FL30" s="73"/>
      <c r="FM30" s="73"/>
      <c r="FN30" s="73"/>
      <c r="FO30" s="73"/>
      <c r="FP30" s="73"/>
      <c r="FQ30" s="73"/>
      <c r="FR30" s="73"/>
      <c r="FS30" s="73"/>
      <c r="FT30" s="73"/>
      <c r="FU30" s="73"/>
      <c r="FV30" s="73"/>
      <c r="FW30" s="73"/>
      <c r="FX30" s="73"/>
      <c r="FY30" s="73"/>
      <c r="FZ30" s="73"/>
      <c r="GA30" s="73"/>
      <c r="GB30" s="73"/>
      <c r="GC30" s="73"/>
      <c r="GD30" s="73"/>
      <c r="GE30" s="73"/>
      <c r="GF30" s="73"/>
      <c r="GG30" s="73"/>
      <c r="GH30" s="73"/>
      <c r="GI30" s="73"/>
      <c r="GJ30" s="73"/>
      <c r="GK30" s="73"/>
      <c r="GL30" s="73"/>
      <c r="GM30" s="73"/>
      <c r="GN30" s="73"/>
      <c r="GO30" s="73"/>
      <c r="GP30" s="73"/>
      <c r="GQ30" s="73"/>
      <c r="GR30" s="73"/>
      <c r="GS30" s="73"/>
      <c r="GT30" s="73"/>
      <c r="GU30" s="73"/>
      <c r="GV30" s="73"/>
      <c r="GW30" s="73"/>
      <c r="GX30" s="73"/>
      <c r="GY30" s="73"/>
      <c r="GZ30" s="73"/>
      <c r="HA30" s="73"/>
      <c r="HB30" s="73"/>
      <c r="HC30" s="73"/>
      <c r="HD30" s="73"/>
      <c r="HE30" s="73"/>
      <c r="HF30" s="73"/>
      <c r="HG30" s="73"/>
      <c r="HH30" s="73"/>
      <c r="HI30" s="73"/>
      <c r="HJ30" s="73"/>
      <c r="HK30" s="73"/>
      <c r="HL30" s="73"/>
      <c r="HM30" s="73"/>
      <c r="HN30" s="73"/>
      <c r="HO30" s="73"/>
      <c r="HP30" s="73"/>
      <c r="HQ30" s="73"/>
      <c r="HR30" s="73"/>
      <c r="HS30" s="73"/>
      <c r="HT30" s="73"/>
      <c r="HU30" s="73"/>
      <c r="HV30" s="73"/>
      <c r="HW30" s="73"/>
      <c r="HX30" s="73"/>
      <c r="HY30" s="73"/>
      <c r="HZ30" s="73"/>
      <c r="IA30" s="73"/>
      <c r="IB30" s="73"/>
      <c r="IC30" s="73"/>
      <c r="ID30" s="73"/>
      <c r="IE30" s="73"/>
      <c r="IF30" s="73"/>
      <c r="IG30" s="73"/>
      <c r="IH30" s="73"/>
    </row>
    <row r="31" spans="1:242" ht="18" customHeight="1" x14ac:dyDescent="0.25">
      <c r="A31" s="4">
        <v>31</v>
      </c>
      <c r="B31" s="405" t="s">
        <v>520</v>
      </c>
      <c r="C31" s="170">
        <f>'D1. Member Months'!D11</f>
        <v>68089</v>
      </c>
      <c r="D31" s="93">
        <f>O14</f>
        <v>1426.3353045223378</v>
      </c>
      <c r="E31" s="94">
        <f>S14</f>
        <v>0</v>
      </c>
      <c r="F31" s="94">
        <f>W14</f>
        <v>0</v>
      </c>
      <c r="G31" s="94">
        <f t="shared" si="2"/>
        <v>38.732670667055736</v>
      </c>
      <c r="H31" s="161">
        <f t="shared" si="2"/>
        <v>1465.0679751893936</v>
      </c>
      <c r="I31" s="156">
        <f>D31</f>
        <v>1426.3353045223378</v>
      </c>
      <c r="J31" s="537">
        <v>6.1699999999999998E-2</v>
      </c>
      <c r="K31" s="94">
        <f>J31*I31</f>
        <v>88.00488828902823</v>
      </c>
      <c r="L31" s="415"/>
      <c r="M31" s="94">
        <f>(I31+K31)*(L31)</f>
        <v>0</v>
      </c>
      <c r="N31" s="94">
        <f>K31+M31</f>
        <v>88.00488828902823</v>
      </c>
      <c r="O31" s="157">
        <f>N31+I31</f>
        <v>1514.340192811366</v>
      </c>
      <c r="P31" s="156">
        <f>E31</f>
        <v>0</v>
      </c>
      <c r="Q31" s="415"/>
      <c r="R31" s="94">
        <f>Q31*P31</f>
        <v>0</v>
      </c>
      <c r="S31" s="183">
        <f>P31+R31</f>
        <v>0</v>
      </c>
      <c r="T31" s="156">
        <f>F31</f>
        <v>0</v>
      </c>
      <c r="U31" s="415"/>
      <c r="V31" s="94">
        <f>T31*U31</f>
        <v>0</v>
      </c>
      <c r="W31" s="183">
        <f>V31+T31</f>
        <v>0</v>
      </c>
      <c r="X31" s="156">
        <f>G31</f>
        <v>38.732670667055736</v>
      </c>
      <c r="Y31" s="415">
        <v>0.02</v>
      </c>
      <c r="Z31" s="94">
        <f>Y31*X31</f>
        <v>0.7746534133411147</v>
      </c>
      <c r="AA31" s="183">
        <f>Z31+X31</f>
        <v>39.507324080396849</v>
      </c>
      <c r="AB31" s="189">
        <f>AA31+W31+S31+O31</f>
        <v>1553.8475168917628</v>
      </c>
      <c r="AC31" s="73"/>
      <c r="AD31" s="73"/>
      <c r="AE31" s="73"/>
      <c r="AF31" s="73"/>
      <c r="AG31" s="73"/>
      <c r="AH31" s="73"/>
      <c r="AI31" s="73"/>
      <c r="AJ31" s="73"/>
      <c r="AK31" s="73"/>
      <c r="AL31" s="73"/>
      <c r="AM31" s="73"/>
      <c r="AN31" s="73"/>
      <c r="AO31" s="73"/>
      <c r="AP31" s="73"/>
      <c r="AQ31" s="73"/>
      <c r="AR31" s="73"/>
      <c r="AS31" s="73"/>
      <c r="AT31" s="73"/>
      <c r="AU31" s="73"/>
      <c r="AV31" s="73"/>
      <c r="AW31" s="73"/>
      <c r="AX31" s="73"/>
      <c r="AY31" s="73"/>
      <c r="AZ31" s="73"/>
      <c r="BA31" s="73"/>
      <c r="BB31" s="73"/>
      <c r="BC31" s="73"/>
      <c r="BD31" s="73"/>
      <c r="BE31" s="73"/>
      <c r="BF31" s="73"/>
      <c r="BG31" s="73"/>
      <c r="BH31" s="73"/>
      <c r="BI31" s="73"/>
      <c r="BJ31" s="73"/>
      <c r="BK31" s="73"/>
      <c r="BL31" s="73"/>
      <c r="BM31" s="73"/>
      <c r="BN31" s="73"/>
      <c r="BO31" s="73"/>
      <c r="BP31" s="73"/>
      <c r="BQ31" s="73"/>
      <c r="BR31" s="73"/>
      <c r="BS31" s="73"/>
      <c r="BT31" s="73"/>
      <c r="BU31" s="73"/>
      <c r="BV31" s="73"/>
      <c r="BW31" s="73"/>
      <c r="BX31" s="73"/>
      <c r="BY31" s="73"/>
      <c r="BZ31" s="73"/>
      <c r="CA31" s="73"/>
      <c r="CB31" s="73"/>
      <c r="CC31" s="73"/>
      <c r="CD31" s="73"/>
      <c r="CE31" s="73"/>
      <c r="CF31" s="73"/>
      <c r="CG31" s="73"/>
      <c r="CH31" s="73"/>
      <c r="CI31" s="73"/>
      <c r="CJ31" s="73"/>
      <c r="CK31" s="73"/>
      <c r="CL31" s="73"/>
      <c r="CM31" s="73"/>
      <c r="CN31" s="73"/>
      <c r="CO31" s="73"/>
      <c r="CP31" s="73"/>
      <c r="CQ31" s="73"/>
      <c r="CR31" s="73"/>
      <c r="CS31" s="73"/>
      <c r="CT31" s="73"/>
      <c r="CU31" s="73"/>
      <c r="CV31" s="73"/>
      <c r="CW31" s="73"/>
      <c r="CX31" s="73"/>
      <c r="CY31" s="73"/>
      <c r="CZ31" s="73"/>
      <c r="DA31" s="73"/>
      <c r="DB31" s="73"/>
      <c r="DC31" s="73"/>
      <c r="DD31" s="73"/>
      <c r="DE31" s="73"/>
      <c r="DF31" s="73"/>
      <c r="DG31" s="73"/>
      <c r="DH31" s="73"/>
      <c r="DI31" s="73"/>
      <c r="DJ31" s="73"/>
      <c r="DK31" s="73"/>
      <c r="DL31" s="73"/>
      <c r="DM31" s="73"/>
      <c r="DN31" s="73"/>
      <c r="DO31" s="73"/>
      <c r="DP31" s="73"/>
      <c r="DQ31" s="73"/>
      <c r="DR31" s="73"/>
      <c r="DS31" s="73"/>
      <c r="DT31" s="73"/>
      <c r="DU31" s="73"/>
      <c r="DV31" s="73"/>
      <c r="DW31" s="73"/>
      <c r="DX31" s="73"/>
      <c r="DY31" s="73"/>
      <c r="DZ31" s="73"/>
      <c r="EA31" s="73"/>
      <c r="EB31" s="73"/>
      <c r="EC31" s="73"/>
      <c r="ED31" s="73"/>
      <c r="EE31" s="73"/>
      <c r="EF31" s="73"/>
      <c r="EG31" s="73"/>
      <c r="EH31" s="73"/>
      <c r="EI31" s="73"/>
      <c r="EJ31" s="73"/>
      <c r="EK31" s="73"/>
      <c r="EL31" s="73"/>
      <c r="EM31" s="73"/>
      <c r="EN31" s="73"/>
      <c r="EO31" s="73"/>
      <c r="EP31" s="73"/>
      <c r="EQ31" s="73"/>
      <c r="ER31" s="73"/>
      <c r="ES31" s="73"/>
      <c r="ET31" s="73"/>
      <c r="EU31" s="73"/>
      <c r="EV31" s="73"/>
      <c r="EW31" s="73"/>
      <c r="EX31" s="73"/>
      <c r="EY31" s="73"/>
      <c r="EZ31" s="73"/>
      <c r="FA31" s="73"/>
      <c r="FB31" s="73"/>
      <c r="FC31" s="73"/>
      <c r="FD31" s="73"/>
      <c r="FE31" s="73"/>
      <c r="FF31" s="73"/>
      <c r="FG31" s="73"/>
      <c r="FH31" s="73"/>
      <c r="FI31" s="73"/>
      <c r="FJ31" s="73"/>
      <c r="FK31" s="73"/>
      <c r="FL31" s="73"/>
      <c r="FM31" s="73"/>
      <c r="FN31" s="73"/>
      <c r="FO31" s="73"/>
      <c r="FP31" s="73"/>
      <c r="FQ31" s="73"/>
      <c r="FR31" s="73"/>
      <c r="FS31" s="73"/>
      <c r="FT31" s="73"/>
      <c r="FU31" s="73"/>
      <c r="FV31" s="73"/>
      <c r="FW31" s="73"/>
      <c r="FX31" s="73"/>
      <c r="FY31" s="73"/>
      <c r="FZ31" s="73"/>
      <c r="GA31" s="73"/>
      <c r="GB31" s="73"/>
      <c r="GC31" s="73"/>
      <c r="GD31" s="73"/>
      <c r="GE31" s="73"/>
      <c r="GF31" s="73"/>
      <c r="GG31" s="73"/>
      <c r="GH31" s="73"/>
      <c r="GI31" s="73"/>
      <c r="GJ31" s="73"/>
      <c r="GK31" s="73"/>
      <c r="GL31" s="73"/>
      <c r="GM31" s="73"/>
      <c r="GN31" s="73"/>
      <c r="GO31" s="73"/>
      <c r="GP31" s="73"/>
      <c r="GQ31" s="73"/>
      <c r="GR31" s="73"/>
      <c r="GS31" s="73"/>
      <c r="GT31" s="73"/>
      <c r="GU31" s="73"/>
      <c r="GV31" s="73"/>
      <c r="GW31" s="73"/>
      <c r="GX31" s="73"/>
      <c r="GY31" s="73"/>
      <c r="GZ31" s="73"/>
      <c r="HA31" s="73"/>
      <c r="HB31" s="73"/>
      <c r="HC31" s="73"/>
      <c r="HD31" s="73"/>
      <c r="HE31" s="73"/>
      <c r="HF31" s="73"/>
      <c r="HG31" s="73"/>
      <c r="HH31" s="73"/>
      <c r="HI31" s="73"/>
      <c r="HJ31" s="73"/>
      <c r="HK31" s="73"/>
      <c r="HL31" s="73"/>
      <c r="HM31" s="73"/>
      <c r="HN31" s="73"/>
      <c r="HO31" s="73"/>
      <c r="HP31" s="73"/>
      <c r="HQ31" s="73"/>
      <c r="HR31" s="73"/>
      <c r="HS31" s="73"/>
      <c r="HT31" s="73"/>
      <c r="HU31" s="73"/>
      <c r="HV31" s="73"/>
      <c r="HW31" s="73"/>
      <c r="HX31" s="73"/>
      <c r="HY31" s="73"/>
      <c r="HZ31" s="73"/>
      <c r="IA31" s="73"/>
      <c r="IB31" s="73"/>
      <c r="IC31" s="73"/>
      <c r="ID31" s="73"/>
      <c r="IE31" s="73"/>
      <c r="IF31" s="73"/>
      <c r="IG31" s="73"/>
      <c r="IH31" s="73"/>
    </row>
    <row r="32" spans="1:242" ht="18" customHeight="1" x14ac:dyDescent="0.25">
      <c r="A32" s="4">
        <v>32</v>
      </c>
      <c r="B32" s="405" t="s">
        <v>521</v>
      </c>
      <c r="C32" s="170">
        <f>'D1. Member Months'!D12</f>
        <v>40023</v>
      </c>
      <c r="D32" s="93">
        <f>O15</f>
        <v>3505.7837654208597</v>
      </c>
      <c r="E32" s="94">
        <f>S15</f>
        <v>0</v>
      </c>
      <c r="F32" s="94">
        <f>W15</f>
        <v>0</v>
      </c>
      <c r="G32" s="94">
        <f t="shared" si="2"/>
        <v>38.539397337083102</v>
      </c>
      <c r="H32" s="161">
        <f t="shared" si="2"/>
        <v>3544.323162757943</v>
      </c>
      <c r="I32" s="156">
        <f>D32</f>
        <v>3505.7837654208597</v>
      </c>
      <c r="J32" s="537">
        <v>6.1699999999999998E-2</v>
      </c>
      <c r="K32" s="94">
        <f>J32*I32</f>
        <v>216.30685832646705</v>
      </c>
      <c r="L32" s="416"/>
      <c r="M32" s="94">
        <f>(I32+K32)*(L32)</f>
        <v>0</v>
      </c>
      <c r="N32" s="94">
        <f>K32+M32</f>
        <v>216.30685832646705</v>
      </c>
      <c r="O32" s="157">
        <f>N32+I32</f>
        <v>3722.0906237473268</v>
      </c>
      <c r="P32" s="156">
        <f>E32</f>
        <v>0</v>
      </c>
      <c r="Q32" s="415"/>
      <c r="R32" s="94">
        <f>Q32*P32</f>
        <v>0</v>
      </c>
      <c r="S32" s="183">
        <f>P32+R32</f>
        <v>0</v>
      </c>
      <c r="T32" s="156">
        <f>F32</f>
        <v>0</v>
      </c>
      <c r="U32" s="415"/>
      <c r="V32" s="94">
        <f>T32*U32</f>
        <v>0</v>
      </c>
      <c r="W32" s="183">
        <f>V32+T32</f>
        <v>0</v>
      </c>
      <c r="X32" s="156">
        <f>G32</f>
        <v>38.539397337083102</v>
      </c>
      <c r="Y32" s="415">
        <v>0.02</v>
      </c>
      <c r="Z32" s="94">
        <f>Y32*X32</f>
        <v>0.77078794674166207</v>
      </c>
      <c r="AA32" s="183">
        <f>Z32+X32</f>
        <v>39.310185283824765</v>
      </c>
      <c r="AB32" s="189">
        <f>AA32+W32+S32+O32</f>
        <v>3761.4008090311518</v>
      </c>
    </row>
    <row r="33" spans="1:28" ht="18" customHeight="1" thickBot="1" x14ac:dyDescent="0.3">
      <c r="A33" s="4">
        <v>33</v>
      </c>
      <c r="B33" s="405" t="s">
        <v>546</v>
      </c>
      <c r="C33" s="170">
        <f>'D1. Member Months'!D13</f>
        <v>219495</v>
      </c>
      <c r="D33" s="178">
        <f>O16</f>
        <v>356.2601261528381</v>
      </c>
      <c r="E33" s="179">
        <f>S16</f>
        <v>0</v>
      </c>
      <c r="F33" s="179">
        <f>W16</f>
        <v>0</v>
      </c>
      <c r="G33" s="179">
        <f t="shared" si="2"/>
        <v>6.4766365340115808</v>
      </c>
      <c r="H33" s="180">
        <f t="shared" si="2"/>
        <v>362.73676268684966</v>
      </c>
      <c r="I33" s="181">
        <f>D33</f>
        <v>356.2601261528381</v>
      </c>
      <c r="J33" s="417">
        <v>4.7567190511073054E-3</v>
      </c>
      <c r="K33" s="179">
        <f>J33*I33</f>
        <v>1.694629329221097</v>
      </c>
      <c r="L33" s="417"/>
      <c r="M33" s="179">
        <f>(I33+K33)*(L33)</f>
        <v>0</v>
      </c>
      <c r="N33" s="179">
        <f>K33+M33</f>
        <v>1.694629329221097</v>
      </c>
      <c r="O33" s="182">
        <f>N33+I33</f>
        <v>357.95475548205917</v>
      </c>
      <c r="P33" s="181">
        <f>E33</f>
        <v>0</v>
      </c>
      <c r="Q33" s="418"/>
      <c r="R33" s="179">
        <f>Q33*P33</f>
        <v>0</v>
      </c>
      <c r="S33" s="184">
        <f>P33+R33</f>
        <v>0</v>
      </c>
      <c r="T33" s="181">
        <f>F33</f>
        <v>0</v>
      </c>
      <c r="U33" s="418"/>
      <c r="V33" s="179">
        <f>T33*U33</f>
        <v>0</v>
      </c>
      <c r="W33" s="184">
        <f>V33+T33</f>
        <v>0</v>
      </c>
      <c r="X33" s="181">
        <f>G33</f>
        <v>6.4766365340115808</v>
      </c>
      <c r="Y33" s="415">
        <v>0.02</v>
      </c>
      <c r="Z33" s="179">
        <f>Y33*X33</f>
        <v>0.12953273068023161</v>
      </c>
      <c r="AA33" s="184">
        <f>Z33+X33</f>
        <v>6.606169264691812</v>
      </c>
      <c r="AB33" s="190">
        <f>AA33+W33+S33+O33</f>
        <v>364.56092474675097</v>
      </c>
    </row>
    <row r="34" spans="1:28" s="80" customFormat="1" ht="18" customHeight="1" thickTop="1" x14ac:dyDescent="0.25">
      <c r="A34" s="4">
        <v>34</v>
      </c>
      <c r="B34" s="473" t="s">
        <v>159</v>
      </c>
      <c r="C34" s="171">
        <f>SUM(C30:C33)</f>
        <v>347031</v>
      </c>
      <c r="D34" s="172"/>
      <c r="E34" s="173"/>
      <c r="F34" s="173"/>
      <c r="G34" s="173"/>
      <c r="H34" s="174"/>
      <c r="I34" s="175"/>
      <c r="J34" s="173"/>
      <c r="K34" s="173"/>
      <c r="L34" s="173"/>
      <c r="M34" s="176"/>
      <c r="N34" s="196"/>
      <c r="O34" s="197"/>
      <c r="P34" s="175"/>
      <c r="Q34" s="177"/>
      <c r="R34" s="196"/>
      <c r="S34" s="198"/>
      <c r="T34" s="175"/>
      <c r="U34" s="177"/>
      <c r="V34" s="196"/>
      <c r="W34" s="198"/>
      <c r="X34" s="175"/>
      <c r="Y34" s="177"/>
      <c r="Z34" s="196"/>
      <c r="AA34" s="198"/>
      <c r="AB34" s="191"/>
    </row>
    <row r="35" spans="1:28" s="80" customFormat="1" ht="18" customHeight="1" thickBot="1" x14ac:dyDescent="0.3">
      <c r="A35" s="4">
        <v>35</v>
      </c>
      <c r="B35" s="254" t="s">
        <v>325</v>
      </c>
      <c r="C35" s="199"/>
      <c r="D35" s="165">
        <f>O18</f>
        <v>937.82615910417883</v>
      </c>
      <c r="E35" s="159">
        <f>S18</f>
        <v>0</v>
      </c>
      <c r="F35" s="159">
        <f>W18</f>
        <v>0</v>
      </c>
      <c r="G35" s="159">
        <f>AA18</f>
        <v>0.64550134051407138</v>
      </c>
      <c r="H35" s="163">
        <f>AB18</f>
        <v>938.47166044469293</v>
      </c>
      <c r="I35" s="162">
        <f>D35</f>
        <v>937.82615910417883</v>
      </c>
      <c r="J35" s="158">
        <f>IF(I35=0,0,K35/I35)</f>
        <v>4.8018184758089701E-2</v>
      </c>
      <c r="K35" s="159">
        <f>SUMPRODUCT(K30:K33,$C$30:$C$33)/$C$34</f>
        <v>45.032709778834089</v>
      </c>
      <c r="L35" s="158">
        <f>M35/(I35+K35)</f>
        <v>0</v>
      </c>
      <c r="M35" s="159">
        <f>SUMPRODUCT(M30:M33,$C$30:$C$33)/$C$34</f>
        <v>0</v>
      </c>
      <c r="N35" s="159">
        <f>K35+M35</f>
        <v>45.032709778834089</v>
      </c>
      <c r="O35" s="200">
        <f>N35+I35</f>
        <v>982.85886888301297</v>
      </c>
      <c r="P35" s="162">
        <f>E35</f>
        <v>0</v>
      </c>
      <c r="Q35" s="158">
        <f>IF(P35=0,0,R35/P35)</f>
        <v>0</v>
      </c>
      <c r="R35" s="159">
        <f>SUMPRODUCT(R30:R33,$C$30:$C$33)/$C$34</f>
        <v>0</v>
      </c>
      <c r="S35" s="201">
        <f>P35+R35</f>
        <v>0</v>
      </c>
      <c r="T35" s="162">
        <f>F35</f>
        <v>0</v>
      </c>
      <c r="U35" s="158">
        <f>IF(T35=0,0,V35/T35)</f>
        <v>0</v>
      </c>
      <c r="V35" s="159">
        <f>SUMPRODUCT(V30:V33,$C$30:$C$33)/$C$34</f>
        <v>0</v>
      </c>
      <c r="W35" s="201">
        <f>V35+T35</f>
        <v>0</v>
      </c>
      <c r="X35" s="162">
        <f>G35</f>
        <v>0.64550134051407138</v>
      </c>
      <c r="Y35" s="158">
        <f>IF(X35=0,0,Z35/X35)</f>
        <v>0.51504950495049517</v>
      </c>
      <c r="Z35" s="159">
        <f>SUMPRODUCT(Z30:Z33,$C$30:$C$33)/$C$34</f>
        <v>0.33246514587665349</v>
      </c>
      <c r="AA35" s="201">
        <f>Z35+X35</f>
        <v>0.97796648639072492</v>
      </c>
      <c r="AB35" s="192">
        <f>AA35+W35+S35+O35</f>
        <v>983.83683536940373</v>
      </c>
    </row>
    <row r="36" spans="1:28" x14ac:dyDescent="0.25">
      <c r="A36" s="4">
        <v>36</v>
      </c>
      <c r="J36" s="95"/>
      <c r="K36" s="95"/>
      <c r="O36" s="243"/>
    </row>
    <row r="37" spans="1:28" ht="10.5" thickBot="1" x14ac:dyDescent="0.3">
      <c r="A37" s="4">
        <v>37</v>
      </c>
      <c r="J37" s="95"/>
      <c r="K37" s="95"/>
      <c r="L37" s="243"/>
    </row>
    <row r="38" spans="1:28" ht="18" customHeight="1" x14ac:dyDescent="0.25">
      <c r="A38" s="4">
        <v>38</v>
      </c>
      <c r="B38" s="166"/>
      <c r="C38" s="167"/>
      <c r="D38" s="74" t="s">
        <v>444</v>
      </c>
      <c r="E38" s="74"/>
      <c r="F38" s="74"/>
      <c r="G38" s="74"/>
      <c r="H38" s="75"/>
      <c r="I38" s="76" t="s">
        <v>445</v>
      </c>
      <c r="J38" s="76"/>
      <c r="K38" s="76"/>
      <c r="L38" s="76"/>
      <c r="M38" s="76"/>
      <c r="N38" s="76"/>
      <c r="O38" s="154"/>
      <c r="P38" s="76" t="s">
        <v>447</v>
      </c>
      <c r="Q38" s="76"/>
      <c r="R38" s="77"/>
      <c r="S38" s="78"/>
      <c r="T38" s="76" t="s">
        <v>449</v>
      </c>
      <c r="U38" s="76"/>
      <c r="V38" s="77"/>
      <c r="W38" s="78"/>
      <c r="X38" s="76" t="s">
        <v>450</v>
      </c>
      <c r="Y38" s="76"/>
      <c r="Z38" s="77"/>
      <c r="AA38" s="78"/>
      <c r="AB38" s="185"/>
    </row>
    <row r="39" spans="1:28" ht="24" customHeight="1" x14ac:dyDescent="0.25">
      <c r="A39" s="4">
        <v>39</v>
      </c>
      <c r="B39" s="168" t="s">
        <v>72</v>
      </c>
      <c r="C39" s="87" t="s">
        <v>256</v>
      </c>
      <c r="D39" s="152" t="s">
        <v>203</v>
      </c>
      <c r="E39" s="152" t="s">
        <v>203</v>
      </c>
      <c r="F39" s="152" t="s">
        <v>203</v>
      </c>
      <c r="G39" s="152" t="s">
        <v>203</v>
      </c>
      <c r="H39" s="152" t="s">
        <v>203</v>
      </c>
      <c r="I39" s="81" t="s">
        <v>203</v>
      </c>
      <c r="J39" s="82" t="s">
        <v>78</v>
      </c>
      <c r="K39" s="82" t="s">
        <v>124</v>
      </c>
      <c r="L39" s="82" t="s">
        <v>125</v>
      </c>
      <c r="M39" s="82" t="s">
        <v>124</v>
      </c>
      <c r="N39" s="82" t="s">
        <v>126</v>
      </c>
      <c r="O39" s="83" t="s">
        <v>446</v>
      </c>
      <c r="P39" s="81" t="s">
        <v>203</v>
      </c>
      <c r="Q39" s="82" t="s">
        <v>128</v>
      </c>
      <c r="R39" s="82" t="s">
        <v>124</v>
      </c>
      <c r="S39" s="83" t="s">
        <v>446</v>
      </c>
      <c r="T39" s="81" t="s">
        <v>203</v>
      </c>
      <c r="U39" s="82" t="s">
        <v>129</v>
      </c>
      <c r="V39" s="82" t="s">
        <v>124</v>
      </c>
      <c r="W39" s="83" t="s">
        <v>446</v>
      </c>
      <c r="X39" s="314" t="s">
        <v>203</v>
      </c>
      <c r="Y39" s="82" t="s">
        <v>130</v>
      </c>
      <c r="Z39" s="82" t="s">
        <v>124</v>
      </c>
      <c r="AA39" s="83" t="s">
        <v>446</v>
      </c>
      <c r="AB39" s="186" t="s">
        <v>446</v>
      </c>
    </row>
    <row r="40" spans="1:28" ht="18" customHeight="1" x14ac:dyDescent="0.25">
      <c r="A40" s="4">
        <v>40</v>
      </c>
      <c r="B40" s="168" t="s">
        <v>74</v>
      </c>
      <c r="C40" s="87" t="s">
        <v>257</v>
      </c>
      <c r="D40" s="153" t="s">
        <v>78</v>
      </c>
      <c r="E40" s="86" t="s">
        <v>81</v>
      </c>
      <c r="F40" s="86" t="s">
        <v>27</v>
      </c>
      <c r="G40" s="86" t="s">
        <v>82</v>
      </c>
      <c r="H40" s="87" t="s">
        <v>83</v>
      </c>
      <c r="I40" s="85" t="s">
        <v>136</v>
      </c>
      <c r="J40" s="86" t="s">
        <v>131</v>
      </c>
      <c r="K40" s="86" t="s">
        <v>132</v>
      </c>
      <c r="L40" s="86" t="s">
        <v>133</v>
      </c>
      <c r="M40" s="86" t="s">
        <v>134</v>
      </c>
      <c r="N40" s="86" t="s">
        <v>135</v>
      </c>
      <c r="O40" s="155" t="s">
        <v>136</v>
      </c>
      <c r="P40" s="85" t="s">
        <v>128</v>
      </c>
      <c r="Q40" s="86" t="s">
        <v>131</v>
      </c>
      <c r="R40" s="86" t="s">
        <v>132</v>
      </c>
      <c r="S40" s="87" t="s">
        <v>128</v>
      </c>
      <c r="T40" s="85" t="s">
        <v>137</v>
      </c>
      <c r="U40" s="86" t="s">
        <v>131</v>
      </c>
      <c r="V40" s="86" t="s">
        <v>132</v>
      </c>
      <c r="W40" s="87" t="s">
        <v>137</v>
      </c>
      <c r="X40" s="248" t="s">
        <v>138</v>
      </c>
      <c r="Y40" s="86" t="s">
        <v>131</v>
      </c>
      <c r="Z40" s="86" t="s">
        <v>132</v>
      </c>
      <c r="AA40" s="87" t="s">
        <v>138</v>
      </c>
      <c r="AB40" s="187" t="s">
        <v>139</v>
      </c>
    </row>
    <row r="41" spans="1:28" ht="18" customHeight="1" x14ac:dyDescent="0.25">
      <c r="A41" s="4">
        <v>41</v>
      </c>
      <c r="B41" s="168"/>
      <c r="C41" s="290" t="s">
        <v>75</v>
      </c>
      <c r="D41" s="153" t="s">
        <v>87</v>
      </c>
      <c r="E41" s="86" t="s">
        <v>87</v>
      </c>
      <c r="F41" s="86" t="s">
        <v>87</v>
      </c>
      <c r="G41" s="86" t="s">
        <v>87</v>
      </c>
      <c r="H41" s="87" t="s">
        <v>231</v>
      </c>
      <c r="I41" s="85" t="s">
        <v>148</v>
      </c>
      <c r="J41" s="88" t="s">
        <v>448</v>
      </c>
      <c r="K41" s="86" t="s">
        <v>145</v>
      </c>
      <c r="L41" s="86" t="s">
        <v>146</v>
      </c>
      <c r="M41" s="86" t="s">
        <v>145</v>
      </c>
      <c r="N41" s="86" t="s">
        <v>147</v>
      </c>
      <c r="O41" s="155" t="s">
        <v>148</v>
      </c>
      <c r="P41" s="85" t="s">
        <v>149</v>
      </c>
      <c r="Q41" s="88" t="s">
        <v>448</v>
      </c>
      <c r="R41" s="86" t="s">
        <v>145</v>
      </c>
      <c r="S41" s="87" t="s">
        <v>149</v>
      </c>
      <c r="T41" s="85" t="s">
        <v>148</v>
      </c>
      <c r="U41" s="88" t="s">
        <v>448</v>
      </c>
      <c r="V41" s="86" t="s">
        <v>145</v>
      </c>
      <c r="W41" s="87" t="s">
        <v>148</v>
      </c>
      <c r="X41" s="248" t="s">
        <v>149</v>
      </c>
      <c r="Y41" s="88" t="s">
        <v>448</v>
      </c>
      <c r="Z41" s="86" t="s">
        <v>145</v>
      </c>
      <c r="AA41" s="87" t="s">
        <v>149</v>
      </c>
      <c r="AB41" s="187" t="s">
        <v>91</v>
      </c>
    </row>
    <row r="42" spans="1:28" ht="18" customHeight="1" x14ac:dyDescent="0.25">
      <c r="A42" s="4">
        <v>42</v>
      </c>
      <c r="B42" s="169"/>
      <c r="C42" s="304" t="s">
        <v>84</v>
      </c>
      <c r="D42" s="164"/>
      <c r="E42" s="89"/>
      <c r="F42" s="89"/>
      <c r="G42" s="89"/>
      <c r="H42" s="105"/>
      <c r="I42" s="92"/>
      <c r="J42" s="90"/>
      <c r="K42" s="90"/>
      <c r="L42" s="90"/>
      <c r="M42" s="90"/>
      <c r="N42" s="90"/>
      <c r="O42" s="91"/>
      <c r="P42" s="92"/>
      <c r="Q42" s="90"/>
      <c r="R42" s="90"/>
      <c r="S42" s="91"/>
      <c r="T42" s="92"/>
      <c r="U42" s="90"/>
      <c r="V42" s="90"/>
      <c r="W42" s="91"/>
      <c r="X42" s="315"/>
      <c r="Y42" s="90"/>
      <c r="Z42" s="90"/>
      <c r="AA42" s="91"/>
      <c r="AB42" s="188"/>
    </row>
    <row r="43" spans="1:28" ht="18" customHeight="1" x14ac:dyDescent="0.25">
      <c r="A43" s="4">
        <v>43</v>
      </c>
      <c r="B43" s="405" t="s">
        <v>519</v>
      </c>
      <c r="C43" s="170">
        <f>'D1. Member Months'!D10</f>
        <v>19424</v>
      </c>
      <c r="D43" s="93">
        <f>O30</f>
        <v>537.17435390413664</v>
      </c>
      <c r="E43" s="93">
        <f>S30</f>
        <v>0</v>
      </c>
      <c r="F43" s="94">
        <f>W30</f>
        <v>0</v>
      </c>
      <c r="G43" s="94">
        <f t="shared" ref="G43:H46" si="3">AA30</f>
        <v>8.7939897187282945</v>
      </c>
      <c r="H43" s="161">
        <f t="shared" si="3"/>
        <v>545.96834362286495</v>
      </c>
      <c r="I43" s="156">
        <f>D43</f>
        <v>537.17435390413664</v>
      </c>
      <c r="J43" s="537">
        <v>6.1699999999999998E-2</v>
      </c>
      <c r="K43" s="94">
        <f>J43*I43</f>
        <v>33.143657635885226</v>
      </c>
      <c r="L43" s="415"/>
      <c r="M43" s="94">
        <f>(I43+K43)*(L43)</f>
        <v>0</v>
      </c>
      <c r="N43" s="94">
        <f>K43+M43</f>
        <v>33.143657635885226</v>
      </c>
      <c r="O43" s="157">
        <f>N43+I43</f>
        <v>570.31801154002187</v>
      </c>
      <c r="P43" s="156">
        <f>E43</f>
        <v>0</v>
      </c>
      <c r="Q43" s="415"/>
      <c r="R43" s="94">
        <f>Q43*P43</f>
        <v>0</v>
      </c>
      <c r="S43" s="183">
        <f>P43+R43</f>
        <v>0</v>
      </c>
      <c r="T43" s="156">
        <f>F43</f>
        <v>0</v>
      </c>
      <c r="U43" s="415"/>
      <c r="V43" s="94">
        <f>T43*U43</f>
        <v>0</v>
      </c>
      <c r="W43" s="183">
        <f>V43+T43</f>
        <v>0</v>
      </c>
      <c r="X43" s="156">
        <f>G43</f>
        <v>8.7939897187282945</v>
      </c>
      <c r="Y43" s="415">
        <v>0.02</v>
      </c>
      <c r="Z43" s="94">
        <f>Y43*X43</f>
        <v>0.17587979437456588</v>
      </c>
      <c r="AA43" s="183">
        <f>Z43+X43</f>
        <v>8.9698695131028607</v>
      </c>
      <c r="AB43" s="189">
        <f>AA43+W43+S43+O43</f>
        <v>579.28788105312469</v>
      </c>
    </row>
    <row r="44" spans="1:28" ht="18" customHeight="1" x14ac:dyDescent="0.25">
      <c r="A44" s="4">
        <v>44</v>
      </c>
      <c r="B44" s="405" t="s">
        <v>520</v>
      </c>
      <c r="C44" s="170">
        <f>'D1. Member Months'!D11</f>
        <v>68089</v>
      </c>
      <c r="D44" s="93">
        <f>O31</f>
        <v>1514.340192811366</v>
      </c>
      <c r="E44" s="93">
        <f>S31</f>
        <v>0</v>
      </c>
      <c r="F44" s="94">
        <f>W31</f>
        <v>0</v>
      </c>
      <c r="G44" s="94">
        <f t="shared" si="3"/>
        <v>39.507324080396849</v>
      </c>
      <c r="H44" s="161">
        <f t="shared" si="3"/>
        <v>1553.8475168917628</v>
      </c>
      <c r="I44" s="156">
        <f>D44</f>
        <v>1514.340192811366</v>
      </c>
      <c r="J44" s="537">
        <v>6.1699999999999998E-2</v>
      </c>
      <c r="K44" s="94">
        <f>J44*I44</f>
        <v>93.434789896461282</v>
      </c>
      <c r="L44" s="415"/>
      <c r="M44" s="94">
        <f>(I44+K44)*(L44)</f>
        <v>0</v>
      </c>
      <c r="N44" s="94">
        <f>K44+M44</f>
        <v>93.434789896461282</v>
      </c>
      <c r="O44" s="157">
        <f>N44+I44</f>
        <v>1607.7749827078273</v>
      </c>
      <c r="P44" s="156">
        <f>E44</f>
        <v>0</v>
      </c>
      <c r="Q44" s="415"/>
      <c r="R44" s="94">
        <f>Q44*P44</f>
        <v>0</v>
      </c>
      <c r="S44" s="183">
        <f>P44+R44</f>
        <v>0</v>
      </c>
      <c r="T44" s="156">
        <f>F44</f>
        <v>0</v>
      </c>
      <c r="U44" s="415"/>
      <c r="V44" s="94">
        <f>T44*U44</f>
        <v>0</v>
      </c>
      <c r="W44" s="183">
        <f>V44+T44</f>
        <v>0</v>
      </c>
      <c r="X44" s="156">
        <f>G44</f>
        <v>39.507324080396849</v>
      </c>
      <c r="Y44" s="415">
        <v>0.02</v>
      </c>
      <c r="Z44" s="94">
        <f>Y44*X44</f>
        <v>0.79014648160793699</v>
      </c>
      <c r="AA44" s="183">
        <f>Z44+X44</f>
        <v>40.297470562004783</v>
      </c>
      <c r="AB44" s="189">
        <f>AA44+W44+S44+O44</f>
        <v>1648.0724532698321</v>
      </c>
    </row>
    <row r="45" spans="1:28" ht="18" customHeight="1" x14ac:dyDescent="0.25">
      <c r="A45" s="4">
        <v>45</v>
      </c>
      <c r="B45" s="405" t="s">
        <v>521</v>
      </c>
      <c r="C45" s="170">
        <f>'D1. Member Months'!D12</f>
        <v>40023</v>
      </c>
      <c r="D45" s="93">
        <f>O32</f>
        <v>3722.0906237473268</v>
      </c>
      <c r="E45" s="93">
        <f>S32</f>
        <v>0</v>
      </c>
      <c r="F45" s="94">
        <f>W32</f>
        <v>0</v>
      </c>
      <c r="G45" s="94">
        <f t="shared" si="3"/>
        <v>39.310185283824765</v>
      </c>
      <c r="H45" s="161">
        <f t="shared" si="3"/>
        <v>3761.4008090311518</v>
      </c>
      <c r="I45" s="156">
        <f>D45</f>
        <v>3722.0906237473268</v>
      </c>
      <c r="J45" s="537">
        <v>6.1699999999999998E-2</v>
      </c>
      <c r="K45" s="94">
        <f>J45*I45</f>
        <v>229.65299148521007</v>
      </c>
      <c r="L45" s="416"/>
      <c r="M45" s="94">
        <f>(I45+K45)*(L45)</f>
        <v>0</v>
      </c>
      <c r="N45" s="94">
        <f>K45+M45</f>
        <v>229.65299148521007</v>
      </c>
      <c r="O45" s="157">
        <f>N45+I45</f>
        <v>3951.7436152325367</v>
      </c>
      <c r="P45" s="156">
        <f>E45</f>
        <v>0</v>
      </c>
      <c r="Q45" s="415"/>
      <c r="R45" s="94">
        <f>Q45*P45</f>
        <v>0</v>
      </c>
      <c r="S45" s="183">
        <f>P45+R45</f>
        <v>0</v>
      </c>
      <c r="T45" s="156">
        <f>F45</f>
        <v>0</v>
      </c>
      <c r="U45" s="415"/>
      <c r="V45" s="94">
        <f>T45*U45</f>
        <v>0</v>
      </c>
      <c r="W45" s="183">
        <f>V45+T45</f>
        <v>0</v>
      </c>
      <c r="X45" s="156">
        <f>G45</f>
        <v>39.310185283824765</v>
      </c>
      <c r="Y45" s="415">
        <v>0.02</v>
      </c>
      <c r="Z45" s="94">
        <f>Y45*X45</f>
        <v>0.78620370567649533</v>
      </c>
      <c r="AA45" s="183">
        <f>Z45+X45</f>
        <v>40.096388989501257</v>
      </c>
      <c r="AB45" s="189">
        <f>AA45+W45+S45+O45</f>
        <v>3991.8400042220378</v>
      </c>
    </row>
    <row r="46" spans="1:28" ht="18" customHeight="1" thickBot="1" x14ac:dyDescent="0.3">
      <c r="A46" s="4">
        <v>46</v>
      </c>
      <c r="B46" s="405" t="s">
        <v>546</v>
      </c>
      <c r="C46" s="170">
        <f>'D1. Member Months'!D13</f>
        <v>219495</v>
      </c>
      <c r="D46" s="93">
        <f>O33</f>
        <v>357.95475548205917</v>
      </c>
      <c r="E46" s="93">
        <f>S33</f>
        <v>0</v>
      </c>
      <c r="F46" s="94">
        <f>W33</f>
        <v>0</v>
      </c>
      <c r="G46" s="94">
        <f t="shared" si="3"/>
        <v>6.606169264691812</v>
      </c>
      <c r="H46" s="161">
        <f t="shared" si="3"/>
        <v>364.56092474675097</v>
      </c>
      <c r="I46" s="181">
        <f>D46</f>
        <v>357.95475548205917</v>
      </c>
      <c r="J46" s="417">
        <v>4.7567190511073054E-3</v>
      </c>
      <c r="K46" s="179">
        <f>J46*I46</f>
        <v>1.702690204835968</v>
      </c>
      <c r="L46" s="417"/>
      <c r="M46" s="179">
        <f>(I46+K46)*(L46)</f>
        <v>0</v>
      </c>
      <c r="N46" s="179">
        <f>K46+M46</f>
        <v>1.702690204835968</v>
      </c>
      <c r="O46" s="182">
        <f>N46+I46</f>
        <v>359.65744568689513</v>
      </c>
      <c r="P46" s="181">
        <f>E46</f>
        <v>0</v>
      </c>
      <c r="Q46" s="418"/>
      <c r="R46" s="179">
        <f>Q46*P46</f>
        <v>0</v>
      </c>
      <c r="S46" s="184">
        <f>P46+R46</f>
        <v>0</v>
      </c>
      <c r="T46" s="181">
        <f>F46</f>
        <v>0</v>
      </c>
      <c r="U46" s="418"/>
      <c r="V46" s="179">
        <f>T46*U46</f>
        <v>0</v>
      </c>
      <c r="W46" s="184">
        <f>V46+T46</f>
        <v>0</v>
      </c>
      <c r="X46" s="181">
        <f>G46</f>
        <v>6.606169264691812</v>
      </c>
      <c r="Y46" s="415">
        <v>0.02</v>
      </c>
      <c r="Z46" s="179">
        <f>Y46*X46</f>
        <v>0.13212338529383624</v>
      </c>
      <c r="AA46" s="184">
        <f>Z46+X46</f>
        <v>6.7382926499856479</v>
      </c>
      <c r="AB46" s="190">
        <f>AA46+W46+S46+O46</f>
        <v>366.39573833688075</v>
      </c>
    </row>
    <row r="47" spans="1:28" ht="18" customHeight="1" thickTop="1" x14ac:dyDescent="0.25">
      <c r="A47" s="4">
        <v>47</v>
      </c>
      <c r="B47" s="473" t="s">
        <v>159</v>
      </c>
      <c r="C47" s="171">
        <f>SUM(C43:C46)</f>
        <v>347031</v>
      </c>
      <c r="D47" s="172"/>
      <c r="E47" s="173"/>
      <c r="F47" s="173"/>
      <c r="G47" s="173"/>
      <c r="H47" s="174"/>
      <c r="I47" s="175"/>
      <c r="J47" s="173"/>
      <c r="K47" s="173"/>
      <c r="L47" s="173"/>
      <c r="M47" s="176"/>
      <c r="N47" s="196"/>
      <c r="O47" s="197"/>
      <c r="P47" s="175"/>
      <c r="Q47" s="177"/>
      <c r="R47" s="196"/>
      <c r="S47" s="198"/>
      <c r="T47" s="175"/>
      <c r="U47" s="177"/>
      <c r="V47" s="196"/>
      <c r="W47" s="198"/>
      <c r="X47" s="175"/>
      <c r="Y47" s="177"/>
      <c r="Z47" s="196"/>
      <c r="AA47" s="198"/>
      <c r="AB47" s="191"/>
    </row>
    <row r="48" spans="1:28" ht="18" customHeight="1" thickBot="1" x14ac:dyDescent="0.3">
      <c r="A48" s="4">
        <v>48</v>
      </c>
      <c r="B48" s="254" t="s">
        <v>443</v>
      </c>
      <c r="C48" s="199"/>
      <c r="D48" s="165">
        <f>O35</f>
        <v>982.85886888301297</v>
      </c>
      <c r="E48" s="159">
        <f>S35</f>
        <v>0</v>
      </c>
      <c r="F48" s="159">
        <f>W35</f>
        <v>0</v>
      </c>
      <c r="G48" s="159">
        <f>AA35</f>
        <v>0.97796648639072492</v>
      </c>
      <c r="H48" s="163">
        <f>AB35</f>
        <v>983.83683536940373</v>
      </c>
      <c r="I48" s="162">
        <f>D48</f>
        <v>982.85886888301297</v>
      </c>
      <c r="J48" s="158">
        <f>IF(I48=0,0,K48/I48)</f>
        <v>4.8582960626968152E-2</v>
      </c>
      <c r="K48" s="159">
        <f>SUMPRODUCT(K43:K46,$C$43:$C$46)/$C$47</f>
        <v>47.750193728809876</v>
      </c>
      <c r="L48" s="158">
        <f>M48/(I48+K48)</f>
        <v>0</v>
      </c>
      <c r="M48" s="159">
        <f>SUMPRODUCT(M43:M46,$C$43:$C$46)/$C$47</f>
        <v>0</v>
      </c>
      <c r="N48" s="159">
        <f>K48+M48</f>
        <v>47.750193728809876</v>
      </c>
      <c r="O48" s="200">
        <f>N48+I48</f>
        <v>1030.6090626118228</v>
      </c>
      <c r="P48" s="162">
        <f>E48</f>
        <v>0</v>
      </c>
      <c r="Q48" s="158">
        <f>IF(P48=0,0,R48/P48)</f>
        <v>0</v>
      </c>
      <c r="R48" s="159">
        <f>SUMPRODUCT(R43:R46,$C$43:$C$46)/$C$47</f>
        <v>0</v>
      </c>
      <c r="S48" s="201">
        <f>P48+R48</f>
        <v>0</v>
      </c>
      <c r="T48" s="162">
        <f>F48</f>
        <v>0</v>
      </c>
      <c r="U48" s="158">
        <f>IF(T48=0,0,V48/T48)</f>
        <v>0</v>
      </c>
      <c r="V48" s="159">
        <f>SUMPRODUCT(V43:V46,$C$43:$C$46)/$C$47</f>
        <v>0</v>
      </c>
      <c r="W48" s="201">
        <f>V48+T48</f>
        <v>0</v>
      </c>
      <c r="X48" s="162">
        <f>G48</f>
        <v>0.97796648639072492</v>
      </c>
      <c r="Y48" s="158">
        <f>IF(X48=0,0,Z48/X48)</f>
        <v>0.34675467259181808</v>
      </c>
      <c r="Z48" s="159">
        <f>SUMPRODUCT(Z43:Z46,$C$43:$C$46)/$C$47</f>
        <v>0.33911444879418651</v>
      </c>
      <c r="AA48" s="201">
        <f>Z48+X48</f>
        <v>1.3170809351849115</v>
      </c>
      <c r="AB48" s="192">
        <f>AA48+W48+S48+O48</f>
        <v>1031.9261435470078</v>
      </c>
    </row>
    <row r="49" spans="1:28" x14ac:dyDescent="0.25">
      <c r="A49" s="4">
        <v>49</v>
      </c>
      <c r="J49" s="95"/>
      <c r="K49" s="95"/>
    </row>
    <row r="50" spans="1:28" x14ac:dyDescent="0.25">
      <c r="A50" s="4">
        <v>50</v>
      </c>
      <c r="J50" s="95"/>
      <c r="K50" s="95"/>
    </row>
    <row r="51" spans="1:28" ht="10.5" thickBot="1" x14ac:dyDescent="0.3">
      <c r="A51" s="4">
        <v>51</v>
      </c>
      <c r="J51" s="95"/>
      <c r="K51" s="95"/>
    </row>
    <row r="52" spans="1:28" ht="18" customHeight="1" x14ac:dyDescent="0.25">
      <c r="A52" s="4">
        <v>52</v>
      </c>
      <c r="B52" s="166"/>
      <c r="C52" s="167"/>
      <c r="D52" s="74" t="s">
        <v>455</v>
      </c>
      <c r="E52" s="74"/>
      <c r="F52" s="74"/>
      <c r="G52" s="74"/>
      <c r="H52" s="75"/>
      <c r="I52" s="76" t="s">
        <v>456</v>
      </c>
      <c r="J52" s="76"/>
      <c r="K52" s="76"/>
      <c r="L52" s="76"/>
      <c r="M52" s="76"/>
      <c r="N52" s="76"/>
      <c r="O52" s="154"/>
      <c r="P52" s="76" t="s">
        <v>458</v>
      </c>
      <c r="Q52" s="76"/>
      <c r="R52" s="77"/>
      <c r="S52" s="78"/>
      <c r="T52" s="76" t="s">
        <v>460</v>
      </c>
      <c r="U52" s="76"/>
      <c r="V52" s="77"/>
      <c r="W52" s="78"/>
      <c r="X52" s="76" t="s">
        <v>461</v>
      </c>
      <c r="Y52" s="76"/>
      <c r="Z52" s="77"/>
      <c r="AA52" s="78"/>
      <c r="AB52" s="185"/>
    </row>
    <row r="53" spans="1:28" ht="24" customHeight="1" x14ac:dyDescent="0.25">
      <c r="A53" s="4">
        <v>53</v>
      </c>
      <c r="B53" s="168" t="s">
        <v>72</v>
      </c>
      <c r="C53" s="87" t="s">
        <v>256</v>
      </c>
      <c r="D53" s="152" t="s">
        <v>454</v>
      </c>
      <c r="E53" s="152" t="s">
        <v>454</v>
      </c>
      <c r="F53" s="152" t="s">
        <v>454</v>
      </c>
      <c r="G53" s="152" t="s">
        <v>454</v>
      </c>
      <c r="H53" s="152" t="s">
        <v>454</v>
      </c>
      <c r="I53" s="81" t="s">
        <v>454</v>
      </c>
      <c r="J53" s="82" t="s">
        <v>78</v>
      </c>
      <c r="K53" s="82" t="s">
        <v>124</v>
      </c>
      <c r="L53" s="82" t="s">
        <v>125</v>
      </c>
      <c r="M53" s="82" t="s">
        <v>124</v>
      </c>
      <c r="N53" s="82" t="s">
        <v>126</v>
      </c>
      <c r="O53" s="83" t="s">
        <v>457</v>
      </c>
      <c r="P53" s="81" t="s">
        <v>454</v>
      </c>
      <c r="Q53" s="82" t="s">
        <v>128</v>
      </c>
      <c r="R53" s="82" t="s">
        <v>124</v>
      </c>
      <c r="S53" s="83" t="s">
        <v>457</v>
      </c>
      <c r="T53" s="81" t="s">
        <v>454</v>
      </c>
      <c r="U53" s="82" t="s">
        <v>129</v>
      </c>
      <c r="V53" s="82" t="s">
        <v>124</v>
      </c>
      <c r="W53" s="83" t="s">
        <v>457</v>
      </c>
      <c r="X53" s="314" t="s">
        <v>454</v>
      </c>
      <c r="Y53" s="82" t="s">
        <v>130</v>
      </c>
      <c r="Z53" s="82" t="s">
        <v>124</v>
      </c>
      <c r="AA53" s="83" t="s">
        <v>457</v>
      </c>
      <c r="AB53" s="186" t="s">
        <v>457</v>
      </c>
    </row>
    <row r="54" spans="1:28" ht="18" customHeight="1" x14ac:dyDescent="0.25">
      <c r="A54" s="4">
        <v>54</v>
      </c>
      <c r="B54" s="168" t="s">
        <v>74</v>
      </c>
      <c r="C54" s="87" t="s">
        <v>257</v>
      </c>
      <c r="D54" s="153" t="s">
        <v>78</v>
      </c>
      <c r="E54" s="86" t="s">
        <v>81</v>
      </c>
      <c r="F54" s="86" t="s">
        <v>27</v>
      </c>
      <c r="G54" s="86" t="s">
        <v>82</v>
      </c>
      <c r="H54" s="87" t="s">
        <v>83</v>
      </c>
      <c r="I54" s="85" t="s">
        <v>136</v>
      </c>
      <c r="J54" s="86" t="s">
        <v>131</v>
      </c>
      <c r="K54" s="86" t="s">
        <v>132</v>
      </c>
      <c r="L54" s="86" t="s">
        <v>548</v>
      </c>
      <c r="M54" s="86" t="s">
        <v>134</v>
      </c>
      <c r="N54" s="86" t="s">
        <v>135</v>
      </c>
      <c r="O54" s="155" t="s">
        <v>136</v>
      </c>
      <c r="P54" s="85" t="s">
        <v>128</v>
      </c>
      <c r="Q54" s="86" t="s">
        <v>131</v>
      </c>
      <c r="R54" s="86" t="s">
        <v>132</v>
      </c>
      <c r="S54" s="87" t="s">
        <v>128</v>
      </c>
      <c r="T54" s="85" t="s">
        <v>137</v>
      </c>
      <c r="U54" s="86" t="s">
        <v>131</v>
      </c>
      <c r="V54" s="86" t="s">
        <v>132</v>
      </c>
      <c r="W54" s="87" t="s">
        <v>137</v>
      </c>
      <c r="X54" s="248" t="s">
        <v>138</v>
      </c>
      <c r="Y54" s="86" t="s">
        <v>131</v>
      </c>
      <c r="Z54" s="86" t="s">
        <v>132</v>
      </c>
      <c r="AA54" s="87" t="s">
        <v>138</v>
      </c>
      <c r="AB54" s="187" t="s">
        <v>139</v>
      </c>
    </row>
    <row r="55" spans="1:28" ht="18" customHeight="1" x14ac:dyDescent="0.25">
      <c r="A55" s="4">
        <v>55</v>
      </c>
      <c r="B55" s="168"/>
      <c r="C55" s="290" t="s">
        <v>75</v>
      </c>
      <c r="D55" s="153" t="s">
        <v>87</v>
      </c>
      <c r="E55" s="86" t="s">
        <v>87</v>
      </c>
      <c r="F55" s="86" t="s">
        <v>87</v>
      </c>
      <c r="G55" s="86" t="s">
        <v>87</v>
      </c>
      <c r="H55" s="87" t="s">
        <v>231</v>
      </c>
      <c r="I55" s="85" t="s">
        <v>148</v>
      </c>
      <c r="J55" s="88" t="s">
        <v>459</v>
      </c>
      <c r="K55" s="86" t="s">
        <v>145</v>
      </c>
      <c r="L55" s="86" t="s">
        <v>549</v>
      </c>
      <c r="M55" s="86" t="s">
        <v>145</v>
      </c>
      <c r="N55" s="86" t="s">
        <v>147</v>
      </c>
      <c r="O55" s="155" t="s">
        <v>148</v>
      </c>
      <c r="P55" s="85" t="s">
        <v>149</v>
      </c>
      <c r="Q55" s="88" t="s">
        <v>459</v>
      </c>
      <c r="R55" s="86" t="s">
        <v>145</v>
      </c>
      <c r="S55" s="87" t="s">
        <v>149</v>
      </c>
      <c r="T55" s="85" t="s">
        <v>148</v>
      </c>
      <c r="U55" s="88" t="s">
        <v>459</v>
      </c>
      <c r="V55" s="86" t="s">
        <v>145</v>
      </c>
      <c r="W55" s="87" t="s">
        <v>148</v>
      </c>
      <c r="X55" s="248" t="s">
        <v>149</v>
      </c>
      <c r="Y55" s="88" t="s">
        <v>459</v>
      </c>
      <c r="Z55" s="86" t="s">
        <v>145</v>
      </c>
      <c r="AA55" s="87" t="s">
        <v>149</v>
      </c>
      <c r="AB55" s="187" t="s">
        <v>91</v>
      </c>
    </row>
    <row r="56" spans="1:28" ht="18" customHeight="1" x14ac:dyDescent="0.25">
      <c r="A56" s="4">
        <v>56</v>
      </c>
      <c r="B56" s="169"/>
      <c r="C56" s="304" t="s">
        <v>84</v>
      </c>
      <c r="D56" s="164"/>
      <c r="E56" s="89"/>
      <c r="F56" s="89"/>
      <c r="G56" s="89"/>
      <c r="H56" s="105"/>
      <c r="I56" s="92"/>
      <c r="J56" s="90"/>
      <c r="K56" s="90"/>
      <c r="L56" s="90"/>
      <c r="M56" s="90"/>
      <c r="N56" s="90"/>
      <c r="O56" s="91"/>
      <c r="P56" s="92"/>
      <c r="Q56" s="90"/>
      <c r="R56" s="90"/>
      <c r="S56" s="91"/>
      <c r="T56" s="92"/>
      <c r="U56" s="90"/>
      <c r="V56" s="90"/>
      <c r="W56" s="91"/>
      <c r="X56" s="315"/>
      <c r="Y56" s="90"/>
      <c r="Z56" s="90"/>
      <c r="AA56" s="91"/>
      <c r="AB56" s="188"/>
    </row>
    <row r="57" spans="1:28" ht="18" customHeight="1" thickBot="1" x14ac:dyDescent="0.3">
      <c r="A57" s="4">
        <v>57</v>
      </c>
      <c r="B57" s="405" t="s">
        <v>519</v>
      </c>
      <c r="C57" s="170">
        <f>'D1. Member Months'!D10</f>
        <v>19424</v>
      </c>
      <c r="D57" s="93">
        <f>O43</f>
        <v>570.31801154002187</v>
      </c>
      <c r="E57" s="94">
        <f>S43</f>
        <v>0</v>
      </c>
      <c r="F57" s="94">
        <f>W43</f>
        <v>0</v>
      </c>
      <c r="G57" s="94">
        <f t="shared" ref="G57:H60" si="4">AA43</f>
        <v>8.9698695131028607</v>
      </c>
      <c r="H57" s="161">
        <f t="shared" si="4"/>
        <v>579.28788105312469</v>
      </c>
      <c r="I57" s="156">
        <f>D57</f>
        <v>570.31801154002187</v>
      </c>
      <c r="J57" s="537">
        <v>6.1699999999999998E-2</v>
      </c>
      <c r="K57" s="94">
        <f>J57*I57</f>
        <v>35.18862131201935</v>
      </c>
      <c r="L57" s="415"/>
      <c r="M57" s="179">
        <f>(I57+K57)*(L57)*0</f>
        <v>0</v>
      </c>
      <c r="N57" s="94">
        <f>K57+M57</f>
        <v>35.18862131201935</v>
      </c>
      <c r="O57" s="157">
        <f>N57+I57</f>
        <v>605.50663285204121</v>
      </c>
      <c r="P57" s="156">
        <f>E57</f>
        <v>0</v>
      </c>
      <c r="Q57" s="415"/>
      <c r="R57" s="94">
        <f>Q57*P57</f>
        <v>0</v>
      </c>
      <c r="S57" s="183">
        <f>P57+R57</f>
        <v>0</v>
      </c>
      <c r="T57" s="156">
        <f>F57</f>
        <v>0</v>
      </c>
      <c r="U57" s="415"/>
      <c r="V57" s="94">
        <f>T57*U57</f>
        <v>0</v>
      </c>
      <c r="W57" s="183">
        <f>V57+T57</f>
        <v>0</v>
      </c>
      <c r="X57" s="156">
        <f>G57</f>
        <v>8.9698695131028607</v>
      </c>
      <c r="Y57" s="415">
        <v>0.02</v>
      </c>
      <c r="Z57" s="94">
        <f>Y57*X57</f>
        <v>0.17939739026205723</v>
      </c>
      <c r="AA57" s="183">
        <f>Z57+X57</f>
        <v>9.1492669033649179</v>
      </c>
      <c r="AB57" s="189">
        <f>AA57+W57+S57+O57</f>
        <v>614.65589975540615</v>
      </c>
    </row>
    <row r="58" spans="1:28" ht="18" customHeight="1" thickTop="1" thickBot="1" x14ac:dyDescent="0.3">
      <c r="A58" s="4">
        <v>58</v>
      </c>
      <c r="B58" s="405" t="s">
        <v>520</v>
      </c>
      <c r="C58" s="170">
        <f>'D1. Member Months'!D11</f>
        <v>68089</v>
      </c>
      <c r="D58" s="93">
        <f>O44</f>
        <v>1607.7749827078273</v>
      </c>
      <c r="E58" s="94">
        <f>S44</f>
        <v>0</v>
      </c>
      <c r="F58" s="94">
        <f>W44</f>
        <v>0</v>
      </c>
      <c r="G58" s="94">
        <f t="shared" si="4"/>
        <v>40.297470562004783</v>
      </c>
      <c r="H58" s="161">
        <f t="shared" si="4"/>
        <v>1648.0724532698321</v>
      </c>
      <c r="I58" s="156">
        <f>D58</f>
        <v>1607.7749827078273</v>
      </c>
      <c r="J58" s="537">
        <v>6.1699999999999998E-2</v>
      </c>
      <c r="K58" s="94">
        <f>J58*I58</f>
        <v>99.19971643307295</v>
      </c>
      <c r="L58" s="537">
        <v>4.3E-3</v>
      </c>
      <c r="M58" s="179">
        <f t="shared" ref="M58:M59" si="5">(I58+K58)*(L58)</f>
        <v>7.3399912063058714</v>
      </c>
      <c r="N58" s="94">
        <f>K58+M58</f>
        <v>106.53970763937882</v>
      </c>
      <c r="O58" s="157">
        <f>N58+I58</f>
        <v>1714.3146903472061</v>
      </c>
      <c r="P58" s="156">
        <f>E58</f>
        <v>0</v>
      </c>
      <c r="Q58" s="415"/>
      <c r="R58" s="94">
        <f>Q58*P58</f>
        <v>0</v>
      </c>
      <c r="S58" s="183">
        <f>P58+R58</f>
        <v>0</v>
      </c>
      <c r="T58" s="156">
        <f>F58</f>
        <v>0</v>
      </c>
      <c r="U58" s="415"/>
      <c r="V58" s="94">
        <f>T58*U58</f>
        <v>0</v>
      </c>
      <c r="W58" s="183">
        <f>V58+T58</f>
        <v>0</v>
      </c>
      <c r="X58" s="156">
        <f>G58</f>
        <v>40.297470562004783</v>
      </c>
      <c r="Y58" s="415">
        <v>0.02</v>
      </c>
      <c r="Z58" s="94">
        <f>Y58*X58</f>
        <v>0.80594941124009567</v>
      </c>
      <c r="AA58" s="183">
        <f>Z58+X58</f>
        <v>41.103419973244876</v>
      </c>
      <c r="AB58" s="189">
        <f>AA58+W58+S58+O58</f>
        <v>1755.418110320451</v>
      </c>
    </row>
    <row r="59" spans="1:28" ht="18" customHeight="1" thickTop="1" thickBot="1" x14ac:dyDescent="0.3">
      <c r="A59" s="4">
        <v>59</v>
      </c>
      <c r="B59" s="405" t="s">
        <v>521</v>
      </c>
      <c r="C59" s="170">
        <f>'D1. Member Months'!D12</f>
        <v>40023</v>
      </c>
      <c r="D59" s="93">
        <f>O45</f>
        <v>3951.7436152325367</v>
      </c>
      <c r="E59" s="94">
        <f>S45</f>
        <v>0</v>
      </c>
      <c r="F59" s="94">
        <f>W45</f>
        <v>0</v>
      </c>
      <c r="G59" s="94">
        <f t="shared" si="4"/>
        <v>40.096388989501257</v>
      </c>
      <c r="H59" s="161">
        <f t="shared" si="4"/>
        <v>3991.8400042220378</v>
      </c>
      <c r="I59" s="156">
        <f>D59</f>
        <v>3951.7436152325367</v>
      </c>
      <c r="J59" s="537">
        <v>6.1699999999999998E-2</v>
      </c>
      <c r="K59" s="94">
        <f>J59*I59</f>
        <v>243.82258105984752</v>
      </c>
      <c r="L59" s="537">
        <v>5.4999999999999997E-3</v>
      </c>
      <c r="M59" s="179">
        <f t="shared" si="5"/>
        <v>23.075614079608112</v>
      </c>
      <c r="N59" s="94">
        <f>K59+M59</f>
        <v>266.89819513945565</v>
      </c>
      <c r="O59" s="157">
        <f>N59+I59</f>
        <v>4218.6418103719925</v>
      </c>
      <c r="P59" s="156">
        <f>E59</f>
        <v>0</v>
      </c>
      <c r="Q59" s="415"/>
      <c r="R59" s="94">
        <f>Q59*P59</f>
        <v>0</v>
      </c>
      <c r="S59" s="183">
        <f>P59+R59</f>
        <v>0</v>
      </c>
      <c r="T59" s="156">
        <f>F59</f>
        <v>0</v>
      </c>
      <c r="U59" s="415"/>
      <c r="V59" s="94">
        <f>T59*U59</f>
        <v>0</v>
      </c>
      <c r="W59" s="183">
        <f>V59+T59</f>
        <v>0</v>
      </c>
      <c r="X59" s="156">
        <f>G59</f>
        <v>40.096388989501257</v>
      </c>
      <c r="Y59" s="415">
        <v>0.02</v>
      </c>
      <c r="Z59" s="94">
        <f>Y59*X59</f>
        <v>0.80192777979002516</v>
      </c>
      <c r="AA59" s="183">
        <f>Z59+X59</f>
        <v>40.898316769291284</v>
      </c>
      <c r="AB59" s="189">
        <f>AA59+W59+S59+O59</f>
        <v>4259.5401271412838</v>
      </c>
    </row>
    <row r="60" spans="1:28" ht="18" customHeight="1" thickTop="1" thickBot="1" x14ac:dyDescent="0.3">
      <c r="A60" s="4">
        <v>60</v>
      </c>
      <c r="B60" s="405" t="s">
        <v>546</v>
      </c>
      <c r="C60" s="170">
        <f>'D1. Member Months'!D13</f>
        <v>219495</v>
      </c>
      <c r="D60" s="93">
        <f>O46</f>
        <v>359.65744568689513</v>
      </c>
      <c r="E60" s="94">
        <f>S46</f>
        <v>0</v>
      </c>
      <c r="F60" s="94">
        <f>W46</f>
        <v>0</v>
      </c>
      <c r="G60" s="94">
        <f t="shared" si="4"/>
        <v>6.7382926499856479</v>
      </c>
      <c r="H60" s="161">
        <f t="shared" si="4"/>
        <v>366.39573833688075</v>
      </c>
      <c r="I60" s="181">
        <f>D60</f>
        <v>359.65744568689513</v>
      </c>
      <c r="J60" s="417">
        <v>4.7567190511073054E-3</v>
      </c>
      <c r="K60" s="179">
        <f>J60*I60</f>
        <v>1.7107894237714449</v>
      </c>
      <c r="L60" s="417"/>
      <c r="M60" s="179">
        <f>(I60+K60)*(L60)</f>
        <v>0</v>
      </c>
      <c r="N60" s="179">
        <f>K60+M60</f>
        <v>1.7107894237714449</v>
      </c>
      <c r="O60" s="182">
        <f>N60+I60</f>
        <v>361.3682351106666</v>
      </c>
      <c r="P60" s="181">
        <f>E60</f>
        <v>0</v>
      </c>
      <c r="Q60" s="418"/>
      <c r="R60" s="179">
        <f>Q60*P60</f>
        <v>0</v>
      </c>
      <c r="S60" s="184">
        <f>P60+R60</f>
        <v>0</v>
      </c>
      <c r="T60" s="181">
        <f>F60</f>
        <v>0</v>
      </c>
      <c r="U60" s="418"/>
      <c r="V60" s="179">
        <f>T60*U60</f>
        <v>0</v>
      </c>
      <c r="W60" s="184">
        <f>V60+T60</f>
        <v>0</v>
      </c>
      <c r="X60" s="181">
        <f>G60</f>
        <v>6.7382926499856479</v>
      </c>
      <c r="Y60" s="415">
        <v>0.02</v>
      </c>
      <c r="Z60" s="179">
        <f>Y60*X60</f>
        <v>0.13476585299971297</v>
      </c>
      <c r="AA60" s="184">
        <f>Z60+X60</f>
        <v>6.8730585029853613</v>
      </c>
      <c r="AB60" s="190">
        <f>AA60+W60+S60+O60</f>
        <v>368.24129361365198</v>
      </c>
    </row>
    <row r="61" spans="1:28" ht="18" customHeight="1" thickTop="1" x14ac:dyDescent="0.25">
      <c r="A61" s="4">
        <v>61</v>
      </c>
      <c r="B61" s="473" t="s">
        <v>159</v>
      </c>
      <c r="C61" s="171">
        <f>SUM(C57:C60)</f>
        <v>347031</v>
      </c>
      <c r="D61" s="172"/>
      <c r="E61" s="173"/>
      <c r="F61" s="173"/>
      <c r="G61" s="173"/>
      <c r="H61" s="174"/>
      <c r="I61" s="175"/>
      <c r="J61" s="173"/>
      <c r="K61" s="173"/>
      <c r="L61" s="173"/>
      <c r="M61" s="176"/>
      <c r="N61" s="196"/>
      <c r="O61" s="197"/>
      <c r="P61" s="175"/>
      <c r="Q61" s="177"/>
      <c r="R61" s="196"/>
      <c r="S61" s="198"/>
      <c r="T61" s="175"/>
      <c r="U61" s="177"/>
      <c r="V61" s="196"/>
      <c r="W61" s="198"/>
      <c r="X61" s="175"/>
      <c r="Y61" s="177"/>
      <c r="Z61" s="196"/>
      <c r="AA61" s="198"/>
      <c r="AB61" s="191"/>
    </row>
    <row r="62" spans="1:28" ht="18" customHeight="1" thickBot="1" x14ac:dyDescent="0.3">
      <c r="A62" s="4">
        <v>62</v>
      </c>
      <c r="B62" s="254" t="s">
        <v>451</v>
      </c>
      <c r="C62" s="199"/>
      <c r="D62" s="165">
        <f>O48</f>
        <v>1030.6090626118228</v>
      </c>
      <c r="E62" s="159">
        <f>S48</f>
        <v>0</v>
      </c>
      <c r="F62" s="159">
        <f>W48</f>
        <v>0</v>
      </c>
      <c r="G62" s="159">
        <f>AA48</f>
        <v>1.3170809351849115</v>
      </c>
      <c r="H62" s="163">
        <f>AB48</f>
        <v>1031.9261435470078</v>
      </c>
      <c r="I62" s="162">
        <f>D62</f>
        <v>1030.6090626118228</v>
      </c>
      <c r="J62" s="158">
        <f>IF(I62=0,0,K62/I62)</f>
        <v>4.913119625343576E-2</v>
      </c>
      <c r="K62" s="159">
        <f>SUMPRODUCT(K57:K60,$C$57:$C$60)/$C$61</f>
        <v>50.635056115750928</v>
      </c>
      <c r="L62" s="158">
        <f>M62/(I62+K62)</f>
        <v>3.7932629744217932E-3</v>
      </c>
      <c r="M62" s="159">
        <f>SUMPRODUCT(M57:M60,$C$57:$C$60)/$C$61</f>
        <v>4.101443281880627</v>
      </c>
      <c r="N62" s="159">
        <f>K62+M62</f>
        <v>54.736499397631555</v>
      </c>
      <c r="O62" s="200">
        <f>N62+I62</f>
        <v>1085.3455620094544</v>
      </c>
      <c r="P62" s="162">
        <f>E62</f>
        <v>0</v>
      </c>
      <c r="Q62" s="158">
        <f>IF(P62=0,0,R62/P62)</f>
        <v>0</v>
      </c>
      <c r="R62" s="159">
        <f>SUMPRODUCT(R57:R60,$C$57:$C$60)/$C$61</f>
        <v>0</v>
      </c>
      <c r="S62" s="201">
        <f>P62+R62</f>
        <v>0</v>
      </c>
      <c r="T62" s="162">
        <f>F62</f>
        <v>0</v>
      </c>
      <c r="U62" s="158">
        <f>IF(T62=0,0,V62/T62)</f>
        <v>0</v>
      </c>
      <c r="V62" s="159">
        <f>SUMPRODUCT(V57:V60,$C$57:$C$60)/$C$61</f>
        <v>0</v>
      </c>
      <c r="W62" s="201">
        <f>V62+T62</f>
        <v>0</v>
      </c>
      <c r="X62" s="162">
        <f>G62</f>
        <v>1.3170809351849115</v>
      </c>
      <c r="Y62" s="158">
        <f>IF(X62=0,0,Z62/X62)</f>
        <v>0.26262375267128751</v>
      </c>
      <c r="Z62" s="159">
        <f>SUMPRODUCT(Z57:Z60,$C$57:$C$60)/$C$61</f>
        <v>0.34589673777007024</v>
      </c>
      <c r="AA62" s="201">
        <f>Z62+X62</f>
        <v>1.6629776729549817</v>
      </c>
      <c r="AB62" s="192">
        <f>AA62+W62+S62+O62</f>
        <v>1087.0085396824095</v>
      </c>
    </row>
    <row r="63" spans="1:28" x14ac:dyDescent="0.25">
      <c r="A63" s="4">
        <v>63</v>
      </c>
      <c r="J63" s="95"/>
      <c r="K63" s="95"/>
    </row>
    <row r="64" spans="1:28" ht="10.5" thickBot="1" x14ac:dyDescent="0.3">
      <c r="A64" s="4">
        <v>64</v>
      </c>
      <c r="J64" s="95"/>
      <c r="K64" s="95"/>
    </row>
    <row r="65" spans="1:28" ht="18" customHeight="1" x14ac:dyDescent="0.25">
      <c r="A65" s="4">
        <v>65</v>
      </c>
      <c r="B65" s="166"/>
      <c r="C65" s="167"/>
      <c r="D65" s="74" t="s">
        <v>453</v>
      </c>
      <c r="E65" s="74"/>
      <c r="F65" s="74"/>
      <c r="G65" s="74"/>
      <c r="H65" s="75"/>
      <c r="I65" s="76" t="s">
        <v>467</v>
      </c>
      <c r="J65" s="76"/>
      <c r="K65" s="76"/>
      <c r="L65" s="76"/>
      <c r="M65" s="76"/>
      <c r="N65" s="76"/>
      <c r="O65" s="154"/>
      <c r="P65" s="76" t="s">
        <v>466</v>
      </c>
      <c r="Q65" s="76"/>
      <c r="R65" s="77"/>
      <c r="S65" s="78"/>
      <c r="T65" s="76" t="s">
        <v>465</v>
      </c>
      <c r="U65" s="76"/>
      <c r="V65" s="77"/>
      <c r="W65" s="78"/>
      <c r="X65" s="76" t="s">
        <v>462</v>
      </c>
      <c r="Y65" s="76"/>
      <c r="Z65" s="77"/>
      <c r="AA65" s="78"/>
      <c r="AB65" s="185"/>
    </row>
    <row r="66" spans="1:28" ht="24" customHeight="1" x14ac:dyDescent="0.25">
      <c r="A66" s="4">
        <v>66</v>
      </c>
      <c r="B66" s="168" t="s">
        <v>72</v>
      </c>
      <c r="C66" s="87" t="s">
        <v>256</v>
      </c>
      <c r="D66" s="152" t="s">
        <v>452</v>
      </c>
      <c r="E66" s="152" t="s">
        <v>452</v>
      </c>
      <c r="F66" s="152" t="s">
        <v>452</v>
      </c>
      <c r="G66" s="152" t="s">
        <v>452</v>
      </c>
      <c r="H66" s="152" t="s">
        <v>452</v>
      </c>
      <c r="I66" s="81" t="s">
        <v>452</v>
      </c>
      <c r="J66" s="82" t="s">
        <v>78</v>
      </c>
      <c r="K66" s="82" t="s">
        <v>124</v>
      </c>
      <c r="L66" s="82" t="s">
        <v>125</v>
      </c>
      <c r="M66" s="82" t="s">
        <v>124</v>
      </c>
      <c r="N66" s="82" t="s">
        <v>126</v>
      </c>
      <c r="O66" s="83" t="s">
        <v>464</v>
      </c>
      <c r="P66" s="81" t="s">
        <v>452</v>
      </c>
      <c r="Q66" s="82" t="s">
        <v>128</v>
      </c>
      <c r="R66" s="82" t="s">
        <v>124</v>
      </c>
      <c r="S66" s="83" t="s">
        <v>464</v>
      </c>
      <c r="T66" s="81" t="s">
        <v>452</v>
      </c>
      <c r="U66" s="82" t="s">
        <v>129</v>
      </c>
      <c r="V66" s="82" t="s">
        <v>124</v>
      </c>
      <c r="W66" s="83" t="s">
        <v>464</v>
      </c>
      <c r="X66" s="314" t="s">
        <v>452</v>
      </c>
      <c r="Y66" s="82" t="s">
        <v>130</v>
      </c>
      <c r="Z66" s="82" t="s">
        <v>124</v>
      </c>
      <c r="AA66" s="83" t="s">
        <v>464</v>
      </c>
      <c r="AB66" s="186" t="s">
        <v>464</v>
      </c>
    </row>
    <row r="67" spans="1:28" ht="18" customHeight="1" x14ac:dyDescent="0.25">
      <c r="A67" s="4">
        <v>67</v>
      </c>
      <c r="B67" s="168" t="s">
        <v>74</v>
      </c>
      <c r="C67" s="87" t="s">
        <v>257</v>
      </c>
      <c r="D67" s="153" t="s">
        <v>78</v>
      </c>
      <c r="E67" s="86" t="s">
        <v>81</v>
      </c>
      <c r="F67" s="86" t="s">
        <v>27</v>
      </c>
      <c r="G67" s="86" t="s">
        <v>82</v>
      </c>
      <c r="H67" s="87" t="s">
        <v>83</v>
      </c>
      <c r="I67" s="85" t="s">
        <v>136</v>
      </c>
      <c r="J67" s="86" t="s">
        <v>131</v>
      </c>
      <c r="K67" s="86" t="s">
        <v>132</v>
      </c>
      <c r="L67" s="86" t="s">
        <v>548</v>
      </c>
      <c r="M67" s="86" t="s">
        <v>134</v>
      </c>
      <c r="N67" s="86" t="s">
        <v>135</v>
      </c>
      <c r="O67" s="155" t="s">
        <v>136</v>
      </c>
      <c r="P67" s="85" t="s">
        <v>128</v>
      </c>
      <c r="Q67" s="86" t="s">
        <v>131</v>
      </c>
      <c r="R67" s="86" t="s">
        <v>132</v>
      </c>
      <c r="S67" s="87" t="s">
        <v>128</v>
      </c>
      <c r="T67" s="85" t="s">
        <v>137</v>
      </c>
      <c r="U67" s="86" t="s">
        <v>131</v>
      </c>
      <c r="V67" s="86" t="s">
        <v>132</v>
      </c>
      <c r="W67" s="87" t="s">
        <v>137</v>
      </c>
      <c r="X67" s="248" t="s">
        <v>138</v>
      </c>
      <c r="Y67" s="86" t="s">
        <v>131</v>
      </c>
      <c r="Z67" s="86" t="s">
        <v>132</v>
      </c>
      <c r="AA67" s="87" t="s">
        <v>138</v>
      </c>
      <c r="AB67" s="187" t="s">
        <v>139</v>
      </c>
    </row>
    <row r="68" spans="1:28" ht="18" customHeight="1" x14ac:dyDescent="0.25">
      <c r="A68" s="4">
        <v>68</v>
      </c>
      <c r="B68" s="168"/>
      <c r="C68" s="290" t="s">
        <v>75</v>
      </c>
      <c r="D68" s="153" t="s">
        <v>87</v>
      </c>
      <c r="E68" s="86" t="s">
        <v>87</v>
      </c>
      <c r="F68" s="86" t="s">
        <v>87</v>
      </c>
      <c r="G68" s="86" t="s">
        <v>87</v>
      </c>
      <c r="H68" s="87" t="s">
        <v>231</v>
      </c>
      <c r="I68" s="85" t="s">
        <v>148</v>
      </c>
      <c r="J68" s="88" t="s">
        <v>463</v>
      </c>
      <c r="K68" s="86" t="s">
        <v>145</v>
      </c>
      <c r="L68" s="86" t="s">
        <v>549</v>
      </c>
      <c r="M68" s="86" t="s">
        <v>145</v>
      </c>
      <c r="N68" s="86" t="s">
        <v>147</v>
      </c>
      <c r="O68" s="155" t="s">
        <v>148</v>
      </c>
      <c r="P68" s="85" t="s">
        <v>149</v>
      </c>
      <c r="Q68" s="88" t="s">
        <v>164</v>
      </c>
      <c r="R68" s="86" t="s">
        <v>145</v>
      </c>
      <c r="S68" s="87" t="s">
        <v>149</v>
      </c>
      <c r="T68" s="85" t="s">
        <v>148</v>
      </c>
      <c r="U68" s="88" t="s">
        <v>164</v>
      </c>
      <c r="V68" s="86" t="s">
        <v>145</v>
      </c>
      <c r="W68" s="87" t="s">
        <v>148</v>
      </c>
      <c r="X68" s="248" t="s">
        <v>149</v>
      </c>
      <c r="Y68" s="88" t="s">
        <v>463</v>
      </c>
      <c r="Z68" s="86" t="s">
        <v>145</v>
      </c>
      <c r="AA68" s="87" t="s">
        <v>149</v>
      </c>
      <c r="AB68" s="187" t="s">
        <v>91</v>
      </c>
    </row>
    <row r="69" spans="1:28" ht="18" customHeight="1" x14ac:dyDescent="0.25">
      <c r="A69" s="4">
        <v>69</v>
      </c>
      <c r="B69" s="169"/>
      <c r="C69" s="304" t="s">
        <v>84</v>
      </c>
      <c r="D69" s="164"/>
      <c r="E69" s="89"/>
      <c r="F69" s="89"/>
      <c r="G69" s="89"/>
      <c r="H69" s="105"/>
      <c r="I69" s="92"/>
      <c r="J69" s="90"/>
      <c r="K69" s="90"/>
      <c r="L69" s="90"/>
      <c r="M69" s="90"/>
      <c r="N69" s="90"/>
      <c r="O69" s="91"/>
      <c r="P69" s="92"/>
      <c r="Q69" s="90"/>
      <c r="R69" s="90"/>
      <c r="S69" s="91"/>
      <c r="T69" s="92"/>
      <c r="U69" s="90"/>
      <c r="V69" s="90"/>
      <c r="W69" s="91"/>
      <c r="X69" s="315"/>
      <c r="Y69" s="90"/>
      <c r="Z69" s="90"/>
      <c r="AA69" s="91"/>
      <c r="AB69" s="188"/>
    </row>
    <row r="70" spans="1:28" ht="18" customHeight="1" x14ac:dyDescent="0.25">
      <c r="A70" s="4">
        <v>70</v>
      </c>
      <c r="B70" s="405" t="s">
        <v>519</v>
      </c>
      <c r="C70" s="170">
        <f>'D1. Member Months'!D10</f>
        <v>19424</v>
      </c>
      <c r="D70" s="93">
        <f>O57</f>
        <v>605.50663285204121</v>
      </c>
      <c r="E70" s="94">
        <f>S57</f>
        <v>0</v>
      </c>
      <c r="F70" s="94">
        <f>W57</f>
        <v>0</v>
      </c>
      <c r="G70" s="94">
        <f t="shared" ref="G70:H73" si="6">AA57</f>
        <v>9.1492669033649179</v>
      </c>
      <c r="H70" s="161">
        <f t="shared" si="6"/>
        <v>614.65589975540615</v>
      </c>
      <c r="I70" s="156">
        <f>D70</f>
        <v>605.50663285204121</v>
      </c>
      <c r="J70" s="537">
        <v>6.1699999999999998E-2</v>
      </c>
      <c r="K70" s="94">
        <f>J70*I70</f>
        <v>37.359759246970938</v>
      </c>
      <c r="L70" s="415"/>
      <c r="M70" s="94">
        <f>(I70+K70)*(L70)</f>
        <v>0</v>
      </c>
      <c r="N70" s="94">
        <f>K70+M70</f>
        <v>37.359759246970938</v>
      </c>
      <c r="O70" s="157">
        <f>N70+I70</f>
        <v>642.86639209901216</v>
      </c>
      <c r="P70" s="156">
        <f>E70</f>
        <v>0</v>
      </c>
      <c r="Q70" s="415"/>
      <c r="R70" s="94">
        <f>Q70*P70</f>
        <v>0</v>
      </c>
      <c r="S70" s="183">
        <f>P70+R70</f>
        <v>0</v>
      </c>
      <c r="T70" s="156">
        <f>F70</f>
        <v>0</v>
      </c>
      <c r="U70" s="415"/>
      <c r="V70" s="94">
        <f>T70*U70</f>
        <v>0</v>
      </c>
      <c r="W70" s="183">
        <f>V70+T70</f>
        <v>0</v>
      </c>
      <c r="X70" s="156">
        <f>G70</f>
        <v>9.1492669033649179</v>
      </c>
      <c r="Y70" s="415">
        <v>0.02</v>
      </c>
      <c r="Z70" s="94">
        <f>Y70*X70</f>
        <v>0.18298533806729836</v>
      </c>
      <c r="AA70" s="183">
        <f>Z70+X70</f>
        <v>9.3322522414322169</v>
      </c>
      <c r="AB70" s="189">
        <f>AA70+W70+S70+O70</f>
        <v>652.19864434044439</v>
      </c>
    </row>
    <row r="71" spans="1:28" ht="18" customHeight="1" x14ac:dyDescent="0.25">
      <c r="A71" s="4">
        <v>71</v>
      </c>
      <c r="B71" s="405" t="s">
        <v>520</v>
      </c>
      <c r="C71" s="170">
        <f>'D1. Member Months'!D11</f>
        <v>68089</v>
      </c>
      <c r="D71" s="93">
        <f>O58</f>
        <v>1714.3146903472061</v>
      </c>
      <c r="E71" s="94">
        <f>S58</f>
        <v>0</v>
      </c>
      <c r="F71" s="94">
        <f>W58</f>
        <v>0</v>
      </c>
      <c r="G71" s="94">
        <f t="shared" si="6"/>
        <v>41.103419973244876</v>
      </c>
      <c r="H71" s="161">
        <f t="shared" si="6"/>
        <v>1755.418110320451</v>
      </c>
      <c r="I71" s="156">
        <f>D71</f>
        <v>1714.3146903472061</v>
      </c>
      <c r="J71" s="537">
        <v>6.1699999999999998E-2</v>
      </c>
      <c r="K71" s="94">
        <f>J71*I71</f>
        <v>105.77321639442262</v>
      </c>
      <c r="L71" s="537">
        <v>8.2000000000000007E-3</v>
      </c>
      <c r="M71" s="94">
        <f>(I71+K71)*(L71)</f>
        <v>14.924720835281358</v>
      </c>
      <c r="N71" s="94">
        <f>K71+M71</f>
        <v>120.69793722970398</v>
      </c>
      <c r="O71" s="157">
        <f>N71+I71</f>
        <v>1835.0126275769101</v>
      </c>
      <c r="P71" s="156">
        <f>E71</f>
        <v>0</v>
      </c>
      <c r="Q71" s="415"/>
      <c r="R71" s="94">
        <f>Q71*P71</f>
        <v>0</v>
      </c>
      <c r="S71" s="183">
        <f>P71+R71</f>
        <v>0</v>
      </c>
      <c r="T71" s="156">
        <f>F71</f>
        <v>0</v>
      </c>
      <c r="U71" s="415"/>
      <c r="V71" s="94">
        <f>T71*U71</f>
        <v>0</v>
      </c>
      <c r="W71" s="183">
        <f>V71+T71</f>
        <v>0</v>
      </c>
      <c r="X71" s="156">
        <f>G71</f>
        <v>41.103419973244876</v>
      </c>
      <c r="Y71" s="415">
        <v>0.02</v>
      </c>
      <c r="Z71" s="94">
        <f>Y71*X71</f>
        <v>0.82206839946489751</v>
      </c>
      <c r="AA71" s="183">
        <f>Z71+X71</f>
        <v>41.925488372709772</v>
      </c>
      <c r="AB71" s="189">
        <f>AA71+W71+S71+O71</f>
        <v>1876.9381159496199</v>
      </c>
    </row>
    <row r="72" spans="1:28" ht="18" customHeight="1" x14ac:dyDescent="0.25">
      <c r="A72" s="4">
        <v>72</v>
      </c>
      <c r="B72" s="405" t="s">
        <v>521</v>
      </c>
      <c r="C72" s="170">
        <f>'D1. Member Months'!D12</f>
        <v>40023</v>
      </c>
      <c r="D72" s="93">
        <f>O59</f>
        <v>4218.6418103719925</v>
      </c>
      <c r="E72" s="94">
        <f>S59</f>
        <v>0</v>
      </c>
      <c r="F72" s="94">
        <f>W59</f>
        <v>0</v>
      </c>
      <c r="G72" s="94">
        <f t="shared" si="6"/>
        <v>40.898316769291284</v>
      </c>
      <c r="H72" s="161">
        <f t="shared" si="6"/>
        <v>4259.5401271412838</v>
      </c>
      <c r="I72" s="156">
        <f>D72</f>
        <v>4218.6418103719925</v>
      </c>
      <c r="J72" s="537">
        <v>6.1699999999999998E-2</v>
      </c>
      <c r="K72" s="94">
        <f>J72*I72</f>
        <v>260.29019969995193</v>
      </c>
      <c r="L72" s="537">
        <v>1.0500000000000001E-2</v>
      </c>
      <c r="M72" s="94">
        <f>(I72+K72)*(L72)</f>
        <v>47.028786105755415</v>
      </c>
      <c r="N72" s="94">
        <f>K72+M72</f>
        <v>307.31898580570737</v>
      </c>
      <c r="O72" s="157">
        <f>N72+I72</f>
        <v>4525.9607961777001</v>
      </c>
      <c r="P72" s="156">
        <f>E72</f>
        <v>0</v>
      </c>
      <c r="Q72" s="415"/>
      <c r="R72" s="94">
        <f>Q72*P72</f>
        <v>0</v>
      </c>
      <c r="S72" s="183">
        <f>P72+R72</f>
        <v>0</v>
      </c>
      <c r="T72" s="156">
        <f>F72</f>
        <v>0</v>
      </c>
      <c r="U72" s="415"/>
      <c r="V72" s="94">
        <f>T72*U72</f>
        <v>0</v>
      </c>
      <c r="W72" s="183">
        <f>V72+T72</f>
        <v>0</v>
      </c>
      <c r="X72" s="156">
        <f>G72</f>
        <v>40.898316769291284</v>
      </c>
      <c r="Y72" s="415">
        <v>0.02</v>
      </c>
      <c r="Z72" s="94">
        <f>Y72*X72</f>
        <v>0.81796633538582575</v>
      </c>
      <c r="AA72" s="183">
        <f>Z72+X72</f>
        <v>41.71628310467711</v>
      </c>
      <c r="AB72" s="189">
        <f>AA72+W72+S72+O72</f>
        <v>4567.6770792823772</v>
      </c>
    </row>
    <row r="73" spans="1:28" ht="18" customHeight="1" thickBot="1" x14ac:dyDescent="0.3">
      <c r="A73" s="4">
        <v>73</v>
      </c>
      <c r="B73" s="405" t="s">
        <v>546</v>
      </c>
      <c r="C73" s="170">
        <f>'D1. Member Months'!D13</f>
        <v>219495</v>
      </c>
      <c r="D73" s="93">
        <f>O60</f>
        <v>361.3682351106666</v>
      </c>
      <c r="E73" s="94">
        <f>S60</f>
        <v>0</v>
      </c>
      <c r="F73" s="94">
        <f>W60</f>
        <v>0</v>
      </c>
      <c r="G73" s="94">
        <f t="shared" si="6"/>
        <v>6.8730585029853613</v>
      </c>
      <c r="H73" s="161">
        <f t="shared" si="6"/>
        <v>368.24129361365198</v>
      </c>
      <c r="I73" s="181">
        <f>D73</f>
        <v>361.3682351106666</v>
      </c>
      <c r="J73" s="417">
        <v>4.7567190511073054E-3</v>
      </c>
      <c r="K73" s="179">
        <f>J73*I73</f>
        <v>1.7189271684159317</v>
      </c>
      <c r="L73" s="417"/>
      <c r="M73" s="179">
        <f>(I73+K73)*(L73)</f>
        <v>0</v>
      </c>
      <c r="N73" s="179">
        <f>K73+M73</f>
        <v>1.7189271684159317</v>
      </c>
      <c r="O73" s="182">
        <f>N73+I73</f>
        <v>363.08716227908252</v>
      </c>
      <c r="P73" s="181">
        <f>E73</f>
        <v>0</v>
      </c>
      <c r="Q73" s="418"/>
      <c r="R73" s="179">
        <f>Q73*P73</f>
        <v>0</v>
      </c>
      <c r="S73" s="184">
        <f>P73+R73</f>
        <v>0</v>
      </c>
      <c r="T73" s="181">
        <f>F73</f>
        <v>0</v>
      </c>
      <c r="U73" s="418"/>
      <c r="V73" s="179">
        <f>T73*U73</f>
        <v>0</v>
      </c>
      <c r="W73" s="184">
        <f>V73+T73</f>
        <v>0</v>
      </c>
      <c r="X73" s="181">
        <f>G73</f>
        <v>6.8730585029853613</v>
      </c>
      <c r="Y73" s="415">
        <v>0.02</v>
      </c>
      <c r="Z73" s="179">
        <f>Y73*X73</f>
        <v>0.13746117005970723</v>
      </c>
      <c r="AA73" s="184">
        <f>Z73+X73</f>
        <v>7.0105196730450681</v>
      </c>
      <c r="AB73" s="190">
        <f>AA73+W73+S73+O73</f>
        <v>370.09768195212757</v>
      </c>
    </row>
    <row r="74" spans="1:28" ht="18" customHeight="1" thickTop="1" x14ac:dyDescent="0.25">
      <c r="A74" s="4">
        <v>74</v>
      </c>
      <c r="B74" s="473" t="s">
        <v>159</v>
      </c>
      <c r="C74" s="171">
        <f>SUM(C70:C73)</f>
        <v>347031</v>
      </c>
      <c r="D74" s="172"/>
      <c r="E74" s="173"/>
      <c r="F74" s="173"/>
      <c r="G74" s="173"/>
      <c r="H74" s="174"/>
      <c r="I74" s="175"/>
      <c r="J74" s="173"/>
      <c r="K74" s="173"/>
      <c r="L74" s="173"/>
      <c r="M74" s="176"/>
      <c r="N74" s="196"/>
      <c r="O74" s="197"/>
      <c r="P74" s="175"/>
      <c r="Q74" s="177"/>
      <c r="R74" s="196"/>
      <c r="S74" s="198"/>
      <c r="T74" s="175"/>
      <c r="U74" s="177"/>
      <c r="V74" s="196"/>
      <c r="W74" s="198"/>
      <c r="X74" s="175"/>
      <c r="Y74" s="177"/>
      <c r="Z74" s="196"/>
      <c r="AA74" s="198"/>
      <c r="AB74" s="191"/>
    </row>
    <row r="75" spans="1:28" ht="18" customHeight="1" thickBot="1" x14ac:dyDescent="0.3">
      <c r="A75" s="4">
        <v>75</v>
      </c>
      <c r="B75" s="254" t="s">
        <v>468</v>
      </c>
      <c r="C75" s="199"/>
      <c r="D75" s="165">
        <f>O62</f>
        <v>1085.3455620094544</v>
      </c>
      <c r="E75" s="159">
        <f>S62</f>
        <v>0</v>
      </c>
      <c r="F75" s="159">
        <f>W62</f>
        <v>0</v>
      </c>
      <c r="G75" s="159">
        <f>AA62</f>
        <v>1.6629776729549817</v>
      </c>
      <c r="H75" s="163">
        <f>AB62</f>
        <v>1087.0085396824095</v>
      </c>
      <c r="I75" s="162">
        <f>D75</f>
        <v>1085.3455620094544</v>
      </c>
      <c r="J75" s="158">
        <f>IF(I75=0,0,K75/I75)</f>
        <v>4.9708299132710985E-2</v>
      </c>
      <c r="K75" s="159">
        <f>SUMPRODUCT(K70:K73,$C$70:$C$73)/$C$74</f>
        <v>53.950681858726277</v>
      </c>
      <c r="L75" s="158">
        <f>M75/(I75+K75)</f>
        <v>7.3309412719430806E-3</v>
      </c>
      <c r="M75" s="159">
        <f>SUMPRODUCT(M70:M73,$C$70:$C$73)/$C$74</f>
        <v>8.3521138551429743</v>
      </c>
      <c r="N75" s="159">
        <f>K75+M75</f>
        <v>62.302795713869251</v>
      </c>
      <c r="O75" s="200">
        <f>N75+I75</f>
        <v>1147.6483577233237</v>
      </c>
      <c r="P75" s="162">
        <f>E75</f>
        <v>0</v>
      </c>
      <c r="Q75" s="158">
        <f>IF(P75=0,0,R75/P75)</f>
        <v>0</v>
      </c>
      <c r="R75" s="159">
        <f>SUMPRODUCT(R70:R73,$C$70:$C$73)/$C$74</f>
        <v>0</v>
      </c>
      <c r="S75" s="201">
        <f>P75+R75</f>
        <v>0</v>
      </c>
      <c r="T75" s="162">
        <f>F75</f>
        <v>0</v>
      </c>
      <c r="U75" s="158">
        <f>IF(T75=0,0,V75/T75)</f>
        <v>0</v>
      </c>
      <c r="V75" s="159">
        <f>SUMPRODUCT(V70:V73,$C$70:$C$73)/$C$74</f>
        <v>0</v>
      </c>
      <c r="W75" s="201">
        <f>V75+T75</f>
        <v>0</v>
      </c>
      <c r="X75" s="162">
        <f>G75</f>
        <v>1.6629776729549817</v>
      </c>
      <c r="Y75" s="158">
        <f>IF(X75=0,0,Z75/X75)</f>
        <v>0.21215839410432219</v>
      </c>
      <c r="Z75" s="159">
        <f>SUMPRODUCT(Z70:Z73,$C$70:$C$73)/$C$74</f>
        <v>0.35281467252547161</v>
      </c>
      <c r="AA75" s="201">
        <f>Z75+X75</f>
        <v>2.0157923454804534</v>
      </c>
      <c r="AB75" s="192">
        <f>AA75+W75+S75+O75</f>
        <v>1149.664150068804</v>
      </c>
    </row>
    <row r="76" spans="1:28" x14ac:dyDescent="0.25">
      <c r="A76" s="4">
        <v>76</v>
      </c>
      <c r="J76" s="95"/>
      <c r="K76" s="95"/>
    </row>
    <row r="77" spans="1:28" x14ac:dyDescent="0.25">
      <c r="A77" s="4">
        <v>77</v>
      </c>
      <c r="J77" s="95"/>
      <c r="K77" s="95"/>
    </row>
    <row r="78" spans="1:28" x14ac:dyDescent="0.25">
      <c r="A78" s="4">
        <v>78</v>
      </c>
      <c r="J78" s="95"/>
      <c r="K78" s="95"/>
    </row>
    <row r="79" spans="1:28" x14ac:dyDescent="0.25">
      <c r="A79" s="4">
        <v>79</v>
      </c>
      <c r="J79" s="95"/>
      <c r="K79" s="95"/>
    </row>
    <row r="80" spans="1:28" x14ac:dyDescent="0.25">
      <c r="J80" s="95"/>
      <c r="K80" s="95"/>
    </row>
    <row r="81" spans="4:11" x14ac:dyDescent="0.25">
      <c r="J81" s="95"/>
      <c r="K81" s="95"/>
    </row>
    <row r="82" spans="4:11" x14ac:dyDescent="0.25">
      <c r="D82" s="501"/>
      <c r="E82" s="501"/>
      <c r="J82" s="95"/>
      <c r="K82" s="95"/>
    </row>
    <row r="83" spans="4:11" x14ac:dyDescent="0.25">
      <c r="J83" s="95"/>
      <c r="K83" s="95"/>
    </row>
    <row r="84" spans="4:11" x14ac:dyDescent="0.25">
      <c r="J84" s="95"/>
      <c r="K84" s="95"/>
    </row>
    <row r="85" spans="4:11" x14ac:dyDescent="0.25">
      <c r="J85" s="95"/>
      <c r="K85" s="95"/>
    </row>
    <row r="86" spans="4:11" x14ac:dyDescent="0.25">
      <c r="J86" s="95"/>
      <c r="K86" s="95"/>
    </row>
    <row r="87" spans="4:11" x14ac:dyDescent="0.25">
      <c r="J87" s="95"/>
      <c r="K87" s="95"/>
    </row>
    <row r="88" spans="4:11" x14ac:dyDescent="0.25">
      <c r="J88" s="95"/>
      <c r="K88" s="95"/>
    </row>
    <row r="89" spans="4:11" x14ac:dyDescent="0.25">
      <c r="J89" s="95"/>
      <c r="K89" s="95"/>
    </row>
    <row r="90" spans="4:11" x14ac:dyDescent="0.25">
      <c r="J90" s="95"/>
      <c r="K90" s="95"/>
    </row>
    <row r="91" spans="4:11" x14ac:dyDescent="0.25">
      <c r="J91" s="95"/>
      <c r="K91" s="95"/>
    </row>
    <row r="92" spans="4:11" x14ac:dyDescent="0.25">
      <c r="J92" s="95"/>
      <c r="K92" s="95"/>
    </row>
    <row r="93" spans="4:11" x14ac:dyDescent="0.25">
      <c r="J93" s="95"/>
      <c r="K93" s="95"/>
    </row>
    <row r="94" spans="4:11" x14ac:dyDescent="0.25">
      <c r="J94" s="95"/>
      <c r="K94" s="95"/>
    </row>
    <row r="95" spans="4:11" x14ac:dyDescent="0.25">
      <c r="J95" s="95"/>
      <c r="K95" s="95"/>
    </row>
    <row r="96" spans="4:11" x14ac:dyDescent="0.25">
      <c r="J96" s="95"/>
      <c r="K96" s="95"/>
    </row>
    <row r="97" spans="10:11" x14ac:dyDescent="0.25">
      <c r="J97" s="95"/>
      <c r="K97" s="95"/>
    </row>
    <row r="98" spans="10:11" x14ac:dyDescent="0.25">
      <c r="J98" s="95"/>
      <c r="K98" s="95"/>
    </row>
    <row r="99" spans="10:11" x14ac:dyDescent="0.25">
      <c r="J99" s="95"/>
      <c r="K99" s="95"/>
    </row>
    <row r="100" spans="10:11" x14ac:dyDescent="0.25">
      <c r="J100" s="95"/>
      <c r="K100" s="95"/>
    </row>
    <row r="101" spans="10:11" x14ac:dyDescent="0.25">
      <c r="J101" s="95"/>
      <c r="K101" s="95"/>
    </row>
    <row r="102" spans="10:11" x14ac:dyDescent="0.25">
      <c r="J102" s="95"/>
      <c r="K102" s="95"/>
    </row>
    <row r="103" spans="10:11" x14ac:dyDescent="0.25">
      <c r="J103" s="95"/>
      <c r="K103" s="95"/>
    </row>
    <row r="104" spans="10:11" x14ac:dyDescent="0.25">
      <c r="J104" s="95"/>
      <c r="K104" s="95"/>
    </row>
    <row r="105" spans="10:11" x14ac:dyDescent="0.25">
      <c r="J105" s="95"/>
      <c r="K105" s="95"/>
    </row>
    <row r="106" spans="10:11" x14ac:dyDescent="0.25">
      <c r="J106" s="95"/>
      <c r="K106" s="95"/>
    </row>
    <row r="107" spans="10:11" x14ac:dyDescent="0.25">
      <c r="J107" s="95"/>
      <c r="K107" s="95"/>
    </row>
    <row r="108" spans="10:11" x14ac:dyDescent="0.25">
      <c r="J108" s="95"/>
      <c r="K108" s="95"/>
    </row>
    <row r="109" spans="10:11" x14ac:dyDescent="0.25">
      <c r="J109" s="95"/>
      <c r="K109" s="95"/>
    </row>
    <row r="110" spans="10:11" x14ac:dyDescent="0.25">
      <c r="J110" s="95"/>
      <c r="K110" s="95"/>
    </row>
    <row r="111" spans="10:11" x14ac:dyDescent="0.25">
      <c r="J111" s="95"/>
      <c r="K111" s="95"/>
    </row>
    <row r="112" spans="10:11" x14ac:dyDescent="0.25">
      <c r="J112" s="95"/>
      <c r="K112" s="95"/>
    </row>
    <row r="113" spans="10:11" x14ac:dyDescent="0.25">
      <c r="J113" s="95"/>
      <c r="K113" s="95"/>
    </row>
    <row r="114" spans="10:11" x14ac:dyDescent="0.25">
      <c r="J114" s="95"/>
      <c r="K114" s="95"/>
    </row>
    <row r="115" spans="10:11" x14ac:dyDescent="0.25">
      <c r="J115" s="95"/>
      <c r="K115" s="95"/>
    </row>
    <row r="116" spans="10:11" x14ac:dyDescent="0.25">
      <c r="J116" s="95"/>
      <c r="K116" s="95"/>
    </row>
    <row r="117" spans="10:11" x14ac:dyDescent="0.25">
      <c r="J117" s="95"/>
      <c r="K117" s="95"/>
    </row>
    <row r="118" spans="10:11" x14ac:dyDescent="0.25">
      <c r="J118" s="95"/>
      <c r="K118" s="95"/>
    </row>
    <row r="119" spans="10:11" x14ac:dyDescent="0.25">
      <c r="J119" s="95"/>
      <c r="K119" s="95"/>
    </row>
    <row r="120" spans="10:11" x14ac:dyDescent="0.25">
      <c r="J120" s="95"/>
      <c r="K120" s="95"/>
    </row>
    <row r="121" spans="10:11" x14ac:dyDescent="0.25">
      <c r="J121" s="95"/>
      <c r="K121" s="95"/>
    </row>
    <row r="122" spans="10:11" x14ac:dyDescent="0.25">
      <c r="J122" s="95"/>
      <c r="K122" s="95"/>
    </row>
    <row r="123" spans="10:11" x14ac:dyDescent="0.25">
      <c r="J123" s="95"/>
      <c r="K123" s="95"/>
    </row>
    <row r="124" spans="10:11" x14ac:dyDescent="0.25">
      <c r="J124" s="95"/>
      <c r="K124" s="95"/>
    </row>
    <row r="125" spans="10:11" x14ac:dyDescent="0.25">
      <c r="J125" s="95"/>
      <c r="K125" s="95"/>
    </row>
    <row r="126" spans="10:11" x14ac:dyDescent="0.25">
      <c r="J126" s="95"/>
      <c r="K126" s="95"/>
    </row>
    <row r="127" spans="10:11" x14ac:dyDescent="0.25">
      <c r="J127" s="95"/>
      <c r="K127" s="95"/>
    </row>
    <row r="128" spans="10:11" x14ac:dyDescent="0.25">
      <c r="J128" s="95"/>
      <c r="K128" s="95"/>
    </row>
    <row r="129" spans="10:11" x14ac:dyDescent="0.25">
      <c r="J129" s="95"/>
      <c r="K129" s="95"/>
    </row>
    <row r="130" spans="10:11" x14ac:dyDescent="0.25">
      <c r="J130" s="95"/>
      <c r="K130" s="95"/>
    </row>
    <row r="131" spans="10:11" x14ac:dyDescent="0.25">
      <c r="J131" s="95"/>
      <c r="K131" s="95"/>
    </row>
    <row r="132" spans="10:11" x14ac:dyDescent="0.25">
      <c r="J132" s="95"/>
      <c r="K132" s="95"/>
    </row>
    <row r="133" spans="10:11" x14ac:dyDescent="0.25">
      <c r="J133" s="95"/>
      <c r="K133" s="95"/>
    </row>
    <row r="134" spans="10:11" x14ac:dyDescent="0.25">
      <c r="J134" s="95"/>
      <c r="K134" s="95"/>
    </row>
    <row r="135" spans="10:11" x14ac:dyDescent="0.25">
      <c r="J135" s="95"/>
      <c r="K135" s="95"/>
    </row>
    <row r="136" spans="10:11" x14ac:dyDescent="0.25">
      <c r="J136" s="95"/>
      <c r="K136" s="95"/>
    </row>
    <row r="137" spans="10:11" x14ac:dyDescent="0.25">
      <c r="J137" s="95"/>
      <c r="K137" s="95"/>
    </row>
    <row r="138" spans="10:11" x14ac:dyDescent="0.25">
      <c r="J138" s="95"/>
      <c r="K138" s="95"/>
    </row>
    <row r="139" spans="10:11" x14ac:dyDescent="0.25">
      <c r="J139" s="95"/>
      <c r="K139" s="95"/>
    </row>
    <row r="140" spans="10:11" x14ac:dyDescent="0.25">
      <c r="J140" s="95"/>
      <c r="K140" s="95"/>
    </row>
    <row r="141" spans="10:11" x14ac:dyDescent="0.25">
      <c r="J141" s="95"/>
      <c r="K141" s="95"/>
    </row>
    <row r="142" spans="10:11" x14ac:dyDescent="0.25">
      <c r="J142" s="95"/>
      <c r="K142" s="95"/>
    </row>
    <row r="143" spans="10:11" x14ac:dyDescent="0.25">
      <c r="J143" s="95"/>
      <c r="K143" s="95"/>
    </row>
    <row r="144" spans="10:11" x14ac:dyDescent="0.25">
      <c r="J144" s="95"/>
      <c r="K144" s="95"/>
    </row>
    <row r="145" spans="10:11" x14ac:dyDescent="0.25">
      <c r="J145" s="95"/>
      <c r="K145" s="95"/>
    </row>
    <row r="146" spans="10:11" x14ac:dyDescent="0.25">
      <c r="J146" s="95"/>
      <c r="K146" s="95"/>
    </row>
    <row r="147" spans="10:11" x14ac:dyDescent="0.25">
      <c r="J147" s="95"/>
      <c r="K147" s="95"/>
    </row>
    <row r="148" spans="10:11" x14ac:dyDescent="0.25">
      <c r="J148" s="95"/>
      <c r="K148" s="95"/>
    </row>
    <row r="149" spans="10:11" x14ac:dyDescent="0.25">
      <c r="J149" s="95"/>
      <c r="K149" s="95"/>
    </row>
    <row r="150" spans="10:11" x14ac:dyDescent="0.25">
      <c r="J150" s="95"/>
      <c r="K150" s="95"/>
    </row>
    <row r="151" spans="10:11" x14ac:dyDescent="0.25">
      <c r="J151" s="95"/>
      <c r="K151" s="95"/>
    </row>
    <row r="152" spans="10:11" x14ac:dyDescent="0.25">
      <c r="J152" s="95"/>
      <c r="K152" s="95"/>
    </row>
    <row r="153" spans="10:11" x14ac:dyDescent="0.25">
      <c r="J153" s="95"/>
      <c r="K153" s="95"/>
    </row>
    <row r="154" spans="10:11" x14ac:dyDescent="0.25">
      <c r="J154" s="95"/>
      <c r="K154" s="95"/>
    </row>
    <row r="155" spans="10:11" x14ac:dyDescent="0.25">
      <c r="J155" s="95"/>
      <c r="K155" s="95"/>
    </row>
    <row r="156" spans="10:11" x14ac:dyDescent="0.25">
      <c r="J156" s="95"/>
      <c r="K156" s="95"/>
    </row>
    <row r="157" spans="10:11" x14ac:dyDescent="0.25">
      <c r="J157" s="95"/>
      <c r="K157" s="95"/>
    </row>
    <row r="158" spans="10:11" x14ac:dyDescent="0.25">
      <c r="J158" s="95"/>
      <c r="K158" s="95"/>
    </row>
    <row r="159" spans="10:11" x14ac:dyDescent="0.25">
      <c r="J159" s="95"/>
      <c r="K159" s="95"/>
    </row>
    <row r="160" spans="10:11" x14ac:dyDescent="0.25">
      <c r="J160" s="95"/>
      <c r="K160" s="95"/>
    </row>
    <row r="161" spans="10:11" x14ac:dyDescent="0.25">
      <c r="J161" s="95"/>
      <c r="K161" s="95"/>
    </row>
    <row r="162" spans="10:11" x14ac:dyDescent="0.25">
      <c r="J162" s="95"/>
      <c r="K162" s="95"/>
    </row>
    <row r="163" spans="10:11" x14ac:dyDescent="0.25">
      <c r="J163" s="95"/>
      <c r="K163" s="95"/>
    </row>
    <row r="164" spans="10:11" x14ac:dyDescent="0.25">
      <c r="J164" s="95"/>
      <c r="K164" s="95"/>
    </row>
    <row r="165" spans="10:11" x14ac:dyDescent="0.25">
      <c r="J165" s="95"/>
      <c r="K165" s="95"/>
    </row>
    <row r="166" spans="10:11" x14ac:dyDescent="0.25">
      <c r="J166" s="95"/>
      <c r="K166" s="95"/>
    </row>
    <row r="167" spans="10:11" x14ac:dyDescent="0.25">
      <c r="J167" s="95"/>
      <c r="K167" s="95"/>
    </row>
    <row r="168" spans="10:11" x14ac:dyDescent="0.25">
      <c r="J168" s="95"/>
      <c r="K168" s="95"/>
    </row>
  </sheetData>
  <sheetProtection algorithmName="SHA-512" hashValue="Eo4/iGNa8ip53UBuPdtfDb3Su3Xu6+fKHKaQtgN1MKuhHb28Pt+XSG8uomOxXDKAYrc3BQBoEK76Mt3d1XrhGQ==" saltValue="CcukDXAQpnvnt6G6qDdZcQ==" spinCount="100000" sheet="1" objects="1" scenarios="1"/>
  <mergeCells count="1">
    <mergeCell ref="C20:O20"/>
  </mergeCells>
  <phoneticPr fontId="0" type="noConversion"/>
  <printOptions horizontalCentered="1"/>
  <pageMargins left="0.25" right="0.25" top="1.5" bottom="1" header="1" footer="0.5"/>
  <pageSetup scale="46" fitToWidth="3" orientation="landscape" r:id="rId1"/>
  <headerFooter alignWithMargins="0">
    <oddHeader xml:space="preserve">&amp;L&amp;"Arial,Bold"&amp;12State of &amp;C&amp;"Arial,Bold"&amp;12Appendix &amp;A&amp;R&amp;"Arial,Bold"&amp;12 </oddHeader>
    <oddFooter>&amp;L&amp;8'&amp;A'&amp;C&amp;8Page &amp;P of &amp;N&amp;R&amp;8&amp;F</oddFooter>
  </headerFooter>
  <rowBreaks count="1" manualBreakCount="1">
    <brk id="49" max="27" man="1"/>
  </rowBreaks>
  <colBreaks count="1" manualBreakCount="1">
    <brk id="15" max="77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G113"/>
  <sheetViews>
    <sheetView showGridLines="0" zoomScaleNormal="100" workbookViewId="0"/>
  </sheetViews>
  <sheetFormatPr defaultColWidth="9.1796875" defaultRowHeight="10" x14ac:dyDescent="0.2"/>
  <cols>
    <col min="1" max="1" width="6.453125" style="31" bestFit="1" customWidth="1"/>
    <col min="2" max="2" width="43" style="31" bestFit="1" customWidth="1"/>
    <col min="3" max="3" width="15.7265625" style="31" customWidth="1"/>
    <col min="4" max="4" width="16.81640625" style="31" customWidth="1"/>
    <col min="5" max="6" width="15.7265625" style="31" customWidth="1"/>
    <col min="7" max="7" width="16.7265625" style="31" bestFit="1" customWidth="1"/>
    <col min="8" max="8" width="15.7265625" style="31" customWidth="1"/>
    <col min="9" max="9" width="14.1796875" style="31" bestFit="1" customWidth="1"/>
    <col min="10" max="10" width="16.7265625" style="31" bestFit="1" customWidth="1"/>
    <col min="11" max="11" width="12.7265625" style="31" bestFit="1" customWidth="1"/>
    <col min="12" max="12" width="14.1796875" style="31" bestFit="1" customWidth="1"/>
    <col min="13" max="13" width="16.7265625" style="31" bestFit="1" customWidth="1"/>
    <col min="14" max="14" width="12.7265625" style="31" bestFit="1" customWidth="1"/>
    <col min="15" max="15" width="15.7265625" style="31" customWidth="1"/>
    <col min="16" max="16" width="16.453125" style="31" customWidth="1"/>
    <col min="17" max="17" width="36.1796875" style="31" customWidth="1"/>
    <col min="18" max="18" width="23.453125" style="31" customWidth="1"/>
    <col min="19" max="19" width="25.26953125" style="31" customWidth="1"/>
    <col min="20" max="20" width="25.54296875" style="31" customWidth="1"/>
    <col min="21" max="21" width="23.7265625" style="31" customWidth="1"/>
    <col min="22" max="22" width="34.26953125" style="31" bestFit="1" customWidth="1"/>
    <col min="23" max="23" width="37.26953125" style="31" bestFit="1" customWidth="1"/>
    <col min="24" max="24" width="27" style="31" customWidth="1"/>
    <col min="25" max="25" width="20" style="31" customWidth="1"/>
    <col min="26" max="26" width="12.81640625" style="31" bestFit="1" customWidth="1"/>
    <col min="27" max="27" width="14.26953125" style="31" bestFit="1" customWidth="1"/>
    <col min="28" max="28" width="16.1796875" style="31" bestFit="1" customWidth="1"/>
    <col min="29" max="29" width="11" style="31" bestFit="1" customWidth="1"/>
    <col min="30" max="30" width="14.26953125" style="31" customWidth="1"/>
    <col min="31" max="31" width="16.1796875" style="31" customWidth="1"/>
    <col min="32" max="32" width="13.54296875" style="31" customWidth="1"/>
    <col min="33" max="33" width="14.26953125" style="31" bestFit="1" customWidth="1"/>
    <col min="34" max="34" width="16.1796875" style="31" customWidth="1"/>
    <col min="35" max="35" width="11" style="31" bestFit="1" customWidth="1"/>
    <col min="36" max="36" width="0.453125" style="31" customWidth="1"/>
    <col min="37" max="37" width="0.81640625" style="31" customWidth="1"/>
    <col min="38" max="38" width="1.1796875" style="31" customWidth="1"/>
    <col min="39" max="39" width="0.7265625" style="31" customWidth="1"/>
    <col min="40" max="40" width="16.1796875" style="31" bestFit="1" customWidth="1"/>
    <col min="41" max="41" width="11" style="31" bestFit="1" customWidth="1"/>
    <col min="42" max="42" width="14.26953125" style="31" bestFit="1" customWidth="1"/>
    <col min="43" max="43" width="16.1796875" style="31" bestFit="1" customWidth="1"/>
    <col min="44" max="44" width="11" style="31" bestFit="1" customWidth="1"/>
    <col min="45" max="45" width="14.26953125" style="31" bestFit="1" customWidth="1"/>
    <col min="46" max="46" width="16.1796875" style="31" bestFit="1" customWidth="1"/>
    <col min="47" max="47" width="11" style="31" bestFit="1" customWidth="1"/>
    <col min="48" max="16384" width="9.1796875" style="31"/>
  </cols>
  <sheetData>
    <row r="1" spans="1:189" s="4" customFormat="1" ht="30" x14ac:dyDescent="0.25">
      <c r="A1" s="16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68</v>
      </c>
      <c r="P1" s="4" t="s">
        <v>109</v>
      </c>
      <c r="Q1" s="4" t="s">
        <v>110</v>
      </c>
      <c r="R1" s="4" t="s">
        <v>111</v>
      </c>
      <c r="S1" s="4" t="s">
        <v>112</v>
      </c>
      <c r="T1" s="4" t="s">
        <v>113</v>
      </c>
      <c r="U1" s="4" t="s">
        <v>114</v>
      </c>
      <c r="V1" s="4" t="s">
        <v>115</v>
      </c>
      <c r="W1" s="4" t="s">
        <v>116</v>
      </c>
      <c r="X1" s="4" t="s">
        <v>40</v>
      </c>
      <c r="Y1" s="4" t="s">
        <v>117</v>
      </c>
      <c r="Z1" s="4" t="s">
        <v>118</v>
      </c>
      <c r="AA1" s="4" t="s">
        <v>119</v>
      </c>
      <c r="AB1" s="4" t="s">
        <v>120</v>
      </c>
      <c r="AC1" s="4" t="s">
        <v>301</v>
      </c>
      <c r="AD1" s="4" t="s">
        <v>302</v>
      </c>
      <c r="AE1" s="4" t="s">
        <v>303</v>
      </c>
      <c r="AF1" s="4" t="s">
        <v>304</v>
      </c>
      <c r="AG1" s="4" t="s">
        <v>305</v>
      </c>
      <c r="AH1" s="4" t="s">
        <v>306</v>
      </c>
      <c r="AI1" s="4" t="s">
        <v>307</v>
      </c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</row>
    <row r="2" spans="1:189" s="204" customFormat="1" ht="15" customHeight="1" x14ac:dyDescent="0.25">
      <c r="A2" s="4">
        <v>2</v>
      </c>
      <c r="B2" s="403" t="s">
        <v>332</v>
      </c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/>
      <c r="P2" s="225" t="s">
        <v>240</v>
      </c>
      <c r="Q2" s="225"/>
      <c r="R2" s="72"/>
      <c r="S2" s="72"/>
      <c r="T2" s="72"/>
      <c r="U2" s="72"/>
      <c r="V2" s="225" t="s">
        <v>276</v>
      </c>
      <c r="W2" s="72"/>
      <c r="X2" s="72"/>
      <c r="Y2" s="72"/>
      <c r="Z2" s="72"/>
      <c r="AA2" s="72"/>
      <c r="AB2" s="72"/>
      <c r="AC2" s="72"/>
      <c r="AD2" s="26"/>
      <c r="AE2" s="26"/>
      <c r="AF2" s="26"/>
      <c r="AG2" s="72"/>
      <c r="AH2" s="72"/>
      <c r="AI2" s="7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</row>
    <row r="3" spans="1:189" customFormat="1" ht="15" customHeight="1" x14ac:dyDescent="0.25">
      <c r="A3" s="4">
        <v>3</v>
      </c>
      <c r="B3" s="413" t="s">
        <v>333</v>
      </c>
      <c r="G3" t="s">
        <v>400</v>
      </c>
      <c r="H3" t="str">
        <f>'D1. Member Months'!G4</f>
        <v>Minnesota</v>
      </c>
      <c r="R3" t="s">
        <v>400</v>
      </c>
      <c r="S3" t="str">
        <f>'D1. Member Months'!G4</f>
        <v>Minnesota</v>
      </c>
      <c r="Z3" t="s">
        <v>400</v>
      </c>
      <c r="AA3" t="str">
        <f>'D1. Member Months'!G4</f>
        <v>Minnesota</v>
      </c>
    </row>
    <row r="4" spans="1:189" s="8" customFormat="1" ht="18" customHeight="1" x14ac:dyDescent="0.25">
      <c r="A4" s="4">
        <v>4</v>
      </c>
      <c r="B4" s="106" t="s">
        <v>269</v>
      </c>
      <c r="C4" s="72"/>
      <c r="D4" s="106"/>
      <c r="E4" s="106"/>
      <c r="F4" s="106"/>
      <c r="G4" s="106"/>
      <c r="H4" s="106"/>
      <c r="I4" s="106"/>
      <c r="J4" s="106"/>
      <c r="K4" s="335"/>
      <c r="L4" s="335"/>
      <c r="M4" s="335"/>
      <c r="N4" s="335"/>
      <c r="O4"/>
      <c r="P4" s="106" t="s">
        <v>269</v>
      </c>
      <c r="Q4" s="106"/>
      <c r="R4" s="106"/>
      <c r="S4" s="106"/>
      <c r="T4" s="106"/>
      <c r="U4" s="106"/>
      <c r="V4" s="106" t="s">
        <v>269</v>
      </c>
      <c r="W4" s="72"/>
      <c r="X4" s="72"/>
      <c r="Y4" s="72"/>
      <c r="Z4" s="106"/>
      <c r="AA4" s="106"/>
      <c r="AB4" s="106"/>
      <c r="AC4" s="106"/>
      <c r="AD4" s="26"/>
      <c r="AE4" s="26"/>
      <c r="AF4" s="26"/>
      <c r="AG4" s="72"/>
      <c r="AH4" s="72"/>
      <c r="AI4" s="72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</row>
    <row r="5" spans="1:189" s="8" customFormat="1" ht="15" customHeight="1" thickBot="1" x14ac:dyDescent="0.3">
      <c r="A5" s="4">
        <v>5</v>
      </c>
      <c r="B5" s="274" t="s">
        <v>15</v>
      </c>
      <c r="C5" s="204"/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72"/>
      <c r="P5" s="106" t="s">
        <v>278</v>
      </c>
      <c r="Q5" s="106"/>
      <c r="R5" s="106"/>
      <c r="S5" s="106"/>
      <c r="T5" s="106"/>
      <c r="U5" s="106"/>
      <c r="V5" s="106" t="s">
        <v>277</v>
      </c>
      <c r="W5" s="72"/>
      <c r="X5" s="72"/>
      <c r="Y5" s="72"/>
      <c r="Z5" s="106"/>
      <c r="AA5" s="106"/>
      <c r="AB5" s="106"/>
      <c r="AC5" s="106"/>
      <c r="AD5" s="26"/>
      <c r="AE5" s="26"/>
      <c r="AF5" s="26"/>
      <c r="AG5" s="72"/>
      <c r="AH5" s="72"/>
      <c r="AI5" s="72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</row>
    <row r="6" spans="1:189" ht="15" customHeight="1" thickBot="1" x14ac:dyDescent="0.3">
      <c r="A6" s="4">
        <v>6</v>
      </c>
      <c r="B6" s="107"/>
      <c r="C6" s="217" t="s">
        <v>17</v>
      </c>
      <c r="D6" s="129" t="s">
        <v>308</v>
      </c>
      <c r="E6" s="108"/>
      <c r="F6" s="108"/>
      <c r="G6" s="108"/>
      <c r="H6" s="109"/>
      <c r="I6" s="365" t="s">
        <v>176</v>
      </c>
      <c r="P6" s="26"/>
      <c r="Q6" s="26"/>
      <c r="R6" s="26"/>
      <c r="S6" s="26"/>
      <c r="T6" s="26"/>
      <c r="U6" s="26"/>
      <c r="V6" s="31" t="str">
        <f>P16</f>
        <v>Projected Year 1</v>
      </c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</row>
    <row r="7" spans="1:189" ht="15" customHeight="1" thickBot="1" x14ac:dyDescent="0.3">
      <c r="A7" s="4">
        <v>7</v>
      </c>
      <c r="B7" s="110" t="s">
        <v>174</v>
      </c>
      <c r="C7" s="218" t="s">
        <v>175</v>
      </c>
      <c r="D7" s="130" t="s">
        <v>176</v>
      </c>
      <c r="E7" s="111" t="s">
        <v>176</v>
      </c>
      <c r="F7" s="111" t="s">
        <v>176</v>
      </c>
      <c r="G7" s="111" t="s">
        <v>176</v>
      </c>
      <c r="H7" s="112" t="s">
        <v>176</v>
      </c>
      <c r="I7" s="353" t="s">
        <v>281</v>
      </c>
      <c r="V7" s="341"/>
      <c r="W7" s="341"/>
      <c r="X7" s="347" t="s">
        <v>297</v>
      </c>
      <c r="Y7" s="348"/>
      <c r="Z7" s="349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</row>
    <row r="8" spans="1:189" ht="15" customHeight="1" x14ac:dyDescent="0.25">
      <c r="A8" s="4">
        <v>8</v>
      </c>
      <c r="B8" s="110" t="s">
        <v>177</v>
      </c>
      <c r="C8" s="219" t="s">
        <v>140</v>
      </c>
      <c r="D8" s="131" t="s">
        <v>136</v>
      </c>
      <c r="E8" s="113" t="s">
        <v>81</v>
      </c>
      <c r="F8" s="113" t="s">
        <v>137</v>
      </c>
      <c r="G8" s="113" t="s">
        <v>82</v>
      </c>
      <c r="H8" s="114" t="s">
        <v>139</v>
      </c>
      <c r="I8" s="353" t="s">
        <v>87</v>
      </c>
      <c r="V8" s="342"/>
      <c r="W8" s="342"/>
      <c r="X8" s="149" t="s">
        <v>296</v>
      </c>
      <c r="Y8" s="366"/>
      <c r="Z8" s="366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</row>
    <row r="9" spans="1:189" ht="15" customHeight="1" thickBot="1" x14ac:dyDescent="0.3">
      <c r="A9" s="4">
        <v>9</v>
      </c>
      <c r="B9" s="116" t="s">
        <v>74</v>
      </c>
      <c r="C9" s="220" t="s">
        <v>18</v>
      </c>
      <c r="D9" s="132" t="s">
        <v>148</v>
      </c>
      <c r="E9" s="117" t="s">
        <v>148</v>
      </c>
      <c r="F9" s="117" t="s">
        <v>148</v>
      </c>
      <c r="G9" s="117" t="s">
        <v>148</v>
      </c>
      <c r="H9" s="118" t="s">
        <v>91</v>
      </c>
      <c r="I9" s="354" t="s">
        <v>299</v>
      </c>
      <c r="V9" s="344" t="s">
        <v>275</v>
      </c>
      <c r="W9" s="344" t="s">
        <v>14</v>
      </c>
      <c r="X9" s="352" t="s">
        <v>300</v>
      </c>
      <c r="Y9" s="41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</row>
    <row r="10" spans="1:189" ht="15" customHeight="1" thickBot="1" x14ac:dyDescent="0.3">
      <c r="A10" s="4">
        <v>10</v>
      </c>
      <c r="B10" s="405" t="s">
        <v>519</v>
      </c>
      <c r="C10" s="221">
        <f>'D1. Member Months'!I10</f>
        <v>34338.599307022603</v>
      </c>
      <c r="D10" s="214">
        <f>'D5. Waiver Cost Projection'!O13</f>
        <v>505.95681821996482</v>
      </c>
      <c r="E10" s="49">
        <f>'D5. Waiver Cost Projection'!S13</f>
        <v>0</v>
      </c>
      <c r="F10" s="49">
        <f>'D5. Waiver Cost Projection'!W13</f>
        <v>0</v>
      </c>
      <c r="G10" s="49">
        <f>'D5. Waiver Cost Projection'!AA13</f>
        <v>8.6215585477728371</v>
      </c>
      <c r="H10" s="161">
        <f>'D5. Waiver Cost Projection'!AB13</f>
        <v>514.57837676773761</v>
      </c>
      <c r="I10" s="364">
        <f>H10-G10</f>
        <v>505.95681821996476</v>
      </c>
      <c r="V10" s="343"/>
      <c r="W10" s="343"/>
      <c r="X10" s="354" t="s">
        <v>298</v>
      </c>
      <c r="Y10" s="41"/>
      <c r="AH10" s="207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</row>
    <row r="11" spans="1:189" ht="15" customHeight="1" thickBot="1" x14ac:dyDescent="0.3">
      <c r="A11" s="4">
        <v>11</v>
      </c>
      <c r="B11" s="405" t="s">
        <v>520</v>
      </c>
      <c r="C11" s="221">
        <f>'D1. Member Months'!I11</f>
        <v>144822.87496359757</v>
      </c>
      <c r="D11" s="214">
        <f>'D5. Waiver Cost Projection'!O14</f>
        <v>1426.3353045223378</v>
      </c>
      <c r="E11" s="49">
        <f>'D5. Waiver Cost Projection'!S14</f>
        <v>0</v>
      </c>
      <c r="F11" s="49">
        <f>'D5. Waiver Cost Projection'!W14</f>
        <v>0</v>
      </c>
      <c r="G11" s="49">
        <f>'D5. Waiver Cost Projection'!AA14</f>
        <v>38.732670667055736</v>
      </c>
      <c r="H11" s="161">
        <f>'D5. Waiver Cost Projection'!AB14</f>
        <v>1465.0679751893936</v>
      </c>
      <c r="I11" s="157">
        <f>H11-G11</f>
        <v>1426.3353045223378</v>
      </c>
      <c r="V11" s="419" t="s">
        <v>271</v>
      </c>
      <c r="W11" s="405" t="s">
        <v>327</v>
      </c>
      <c r="X11" s="385">
        <f>I10</f>
        <v>505.95681821996476</v>
      </c>
      <c r="Y11" s="367"/>
      <c r="AH11" s="207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</row>
    <row r="12" spans="1:189" ht="15" customHeight="1" thickBot="1" x14ac:dyDescent="0.3">
      <c r="A12" s="4">
        <v>12</v>
      </c>
      <c r="B12" s="405" t="s">
        <v>521</v>
      </c>
      <c r="C12" s="221">
        <f>'D1. Member Months'!I12</f>
        <v>72475.756199655531</v>
      </c>
      <c r="D12" s="214">
        <f>'D5. Waiver Cost Projection'!O15</f>
        <v>3505.7837654208597</v>
      </c>
      <c r="E12" s="49">
        <f>'D5. Waiver Cost Projection'!S15</f>
        <v>0</v>
      </c>
      <c r="F12" s="49">
        <f>'D5. Waiver Cost Projection'!W15</f>
        <v>0</v>
      </c>
      <c r="G12" s="49">
        <f>'D5. Waiver Cost Projection'!AA15</f>
        <v>38.539397337083102</v>
      </c>
      <c r="H12" s="161">
        <f>'D5. Waiver Cost Projection'!AB15</f>
        <v>3544.323162757943</v>
      </c>
      <c r="I12" s="157">
        <f>H12-G12</f>
        <v>3505.7837654208597</v>
      </c>
      <c r="V12" s="419" t="s">
        <v>271</v>
      </c>
      <c r="W12" s="405" t="s">
        <v>328</v>
      </c>
      <c r="X12" s="385">
        <f>I11</f>
        <v>1426.3353045223378</v>
      </c>
      <c r="AH12" s="207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</row>
    <row r="13" spans="1:189" ht="15" customHeight="1" thickBot="1" x14ac:dyDescent="0.3">
      <c r="A13" s="4">
        <v>13</v>
      </c>
      <c r="B13" s="405" t="s">
        <v>546</v>
      </c>
      <c r="C13" s="222">
        <f>'D1. Member Months'!I13</f>
        <v>382093.82290687703</v>
      </c>
      <c r="D13" s="215">
        <f>'D5. Waiver Cost Projection'!O16</f>
        <v>356.2601261528381</v>
      </c>
      <c r="E13" s="121">
        <f>'D5. Waiver Cost Projection'!S16</f>
        <v>0</v>
      </c>
      <c r="F13" s="121">
        <f>'D5. Waiver Cost Projection'!W16</f>
        <v>0</v>
      </c>
      <c r="G13" s="121">
        <f>'D5. Waiver Cost Projection'!AA16</f>
        <v>6.4766365340115808</v>
      </c>
      <c r="H13" s="363">
        <f>'D5. Waiver Cost Projection'!AB16</f>
        <v>362.73676268684966</v>
      </c>
      <c r="I13" s="157">
        <f>H13-G13</f>
        <v>356.2601261528381</v>
      </c>
      <c r="V13" s="419" t="s">
        <v>274</v>
      </c>
      <c r="W13" s="405" t="s">
        <v>329</v>
      </c>
      <c r="X13" s="385">
        <f>I12</f>
        <v>3505.7837654208597</v>
      </c>
      <c r="AH13" s="207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</row>
    <row r="14" spans="1:189" ht="15" customHeight="1" thickTop="1" thickBot="1" x14ac:dyDescent="0.3">
      <c r="A14" s="4">
        <v>14</v>
      </c>
      <c r="B14" s="123" t="s">
        <v>98</v>
      </c>
      <c r="C14" s="223">
        <f>SUM(C10:C13)</f>
        <v>633731.05337715277</v>
      </c>
      <c r="D14" s="216"/>
      <c r="E14" s="208"/>
      <c r="F14" s="208"/>
      <c r="G14" s="208"/>
      <c r="H14" s="209"/>
      <c r="I14" s="209"/>
      <c r="J14" s="378"/>
      <c r="V14" s="419" t="s">
        <v>274</v>
      </c>
      <c r="W14" s="406" t="s">
        <v>330</v>
      </c>
      <c r="X14" s="387">
        <f>I13</f>
        <v>356.2601261528381</v>
      </c>
      <c r="AH14" s="207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</row>
    <row r="15" spans="1:189" ht="15" customHeight="1" thickBot="1" x14ac:dyDescent="0.3">
      <c r="A15" s="4">
        <v>15</v>
      </c>
      <c r="B15" s="275" t="s">
        <v>312</v>
      </c>
      <c r="C15" s="224"/>
      <c r="D15" s="205">
        <f>SUMPRODUCT(D10:D13,$C$10:$C$13)/$C$14</f>
        <v>969.10029524368713</v>
      </c>
      <c r="E15" s="206">
        <f>SUMPRODUCT(E10:E13,$C$10:$C$13)/$C$14</f>
        <v>0</v>
      </c>
      <c r="F15" s="206">
        <f>SUMPRODUCT(F10:F13,$C$10:$C$13)/$C$14</f>
        <v>0</v>
      </c>
      <c r="G15" s="362">
        <f>SUMPRODUCT(G10:G13,$C$10:$C$13)/$C$14</f>
        <v>17.630955093956203</v>
      </c>
      <c r="H15" s="206">
        <f>SUMPRODUCT(H10:H13,$C$10:$C$13)/$C$14</f>
        <v>986.73125033764336</v>
      </c>
      <c r="I15" s="206"/>
      <c r="J15" s="125"/>
      <c r="K15" s="126"/>
      <c r="L15" s="126"/>
      <c r="M15" s="126"/>
      <c r="N15" s="126"/>
      <c r="O15" s="127"/>
      <c r="P15" s="127"/>
      <c r="Q15" s="127"/>
      <c r="R15" s="126"/>
      <c r="S15" s="126"/>
      <c r="T15" s="126"/>
      <c r="U15" s="126"/>
      <c r="V15" s="336" t="s">
        <v>273</v>
      </c>
      <c r="W15" s="351" t="s">
        <v>24</v>
      </c>
      <c r="X15" s="206">
        <f>G15</f>
        <v>17.630955093956203</v>
      </c>
      <c r="Y15" s="127"/>
      <c r="Z15" s="127"/>
      <c r="AA15" s="127"/>
      <c r="AB15" s="127"/>
      <c r="AC15" s="127"/>
      <c r="AH15" s="207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</row>
    <row r="16" spans="1:189" ht="18" customHeight="1" thickBot="1" x14ac:dyDescent="0.3">
      <c r="A16" s="4">
        <v>16</v>
      </c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t="s">
        <v>15</v>
      </c>
      <c r="Q16" s="486">
        <f>'D1. Member Months'!D6</f>
        <v>44348</v>
      </c>
      <c r="R16" s="8" t="s">
        <v>388</v>
      </c>
      <c r="S16" s="487">
        <f>'D1. Member Months'!F6</f>
        <v>44712</v>
      </c>
      <c r="T16" s="8"/>
      <c r="U16" s="377"/>
      <c r="V16" s="31" t="str">
        <f>P16</f>
        <v>Projected Year 1</v>
      </c>
      <c r="X16" s="368" t="s">
        <v>293</v>
      </c>
      <c r="Y16" s="360"/>
      <c r="Z16" s="361"/>
      <c r="AA16" s="368" t="s">
        <v>293</v>
      </c>
      <c r="AB16" s="360"/>
      <c r="AC16" s="361"/>
      <c r="AD16" s="368" t="s">
        <v>293</v>
      </c>
      <c r="AE16" s="360"/>
      <c r="AF16" s="361"/>
      <c r="AG16" s="368" t="s">
        <v>293</v>
      </c>
      <c r="AH16" s="360"/>
      <c r="AI16" s="361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</row>
    <row r="17" spans="1:189" ht="15" customHeight="1" x14ac:dyDescent="0.25">
      <c r="A17" s="4">
        <v>17</v>
      </c>
      <c r="B17" s="149"/>
      <c r="C17" s="320" t="s">
        <v>170</v>
      </c>
      <c r="D17" s="108"/>
      <c r="E17" s="109"/>
      <c r="F17" s="320" t="s">
        <v>171</v>
      </c>
      <c r="G17" s="108"/>
      <c r="H17" s="109"/>
      <c r="I17" s="320" t="s">
        <v>172</v>
      </c>
      <c r="J17" s="108"/>
      <c r="K17" s="109"/>
      <c r="L17" s="320" t="s">
        <v>173</v>
      </c>
      <c r="M17" s="108"/>
      <c r="N17" s="109"/>
      <c r="O17" s="373"/>
      <c r="P17" s="341"/>
      <c r="Q17" s="341"/>
      <c r="R17" s="337"/>
      <c r="S17" s="337"/>
      <c r="T17" s="337"/>
      <c r="U17" s="337"/>
      <c r="V17" s="341"/>
      <c r="W17" s="341"/>
      <c r="X17" s="320" t="s">
        <v>285</v>
      </c>
      <c r="Y17" s="108"/>
      <c r="Z17" s="109"/>
      <c r="AA17" s="320" t="s">
        <v>286</v>
      </c>
      <c r="AB17" s="108"/>
      <c r="AC17" s="109"/>
      <c r="AD17" s="320" t="s">
        <v>287</v>
      </c>
      <c r="AE17" s="108"/>
      <c r="AF17" s="109"/>
      <c r="AG17" s="320" t="s">
        <v>288</v>
      </c>
      <c r="AH17" s="108"/>
      <c r="AI17" s="109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</row>
    <row r="18" spans="1:189" ht="15" customHeight="1" x14ac:dyDescent="0.25">
      <c r="A18" s="4">
        <v>18</v>
      </c>
      <c r="B18" s="150" t="s">
        <v>174</v>
      </c>
      <c r="C18" s="202" t="s">
        <v>140</v>
      </c>
      <c r="D18" s="115" t="s">
        <v>272</v>
      </c>
      <c r="E18" s="319" t="s">
        <v>270</v>
      </c>
      <c r="F18" s="110" t="s">
        <v>140</v>
      </c>
      <c r="G18" s="115" t="s">
        <v>272</v>
      </c>
      <c r="H18" s="319" t="s">
        <v>270</v>
      </c>
      <c r="I18" s="110" t="s">
        <v>140</v>
      </c>
      <c r="J18" s="115" t="s">
        <v>272</v>
      </c>
      <c r="K18" s="319" t="s">
        <v>270</v>
      </c>
      <c r="L18" s="110" t="s">
        <v>140</v>
      </c>
      <c r="M18" s="115" t="s">
        <v>272</v>
      </c>
      <c r="N18" s="319" t="s">
        <v>270</v>
      </c>
      <c r="O18" s="353"/>
      <c r="P18" s="342"/>
      <c r="Q18" s="342"/>
      <c r="R18" s="338"/>
      <c r="S18" s="338"/>
      <c r="T18" s="339"/>
      <c r="U18" s="340"/>
      <c r="V18" s="342"/>
      <c r="W18" s="342"/>
      <c r="X18" s="202" t="s">
        <v>140</v>
      </c>
      <c r="Y18" s="113" t="s">
        <v>284</v>
      </c>
      <c r="Z18" s="319" t="s">
        <v>284</v>
      </c>
      <c r="AA18" s="202" t="s">
        <v>140</v>
      </c>
      <c r="AB18" s="113" t="s">
        <v>284</v>
      </c>
      <c r="AC18" s="319" t="s">
        <v>284</v>
      </c>
      <c r="AD18" s="202" t="s">
        <v>140</v>
      </c>
      <c r="AE18" s="113" t="s">
        <v>284</v>
      </c>
      <c r="AF18" s="319" t="s">
        <v>284</v>
      </c>
      <c r="AG18" s="202" t="s">
        <v>140</v>
      </c>
      <c r="AH18" s="113" t="s">
        <v>284</v>
      </c>
      <c r="AI18" s="319" t="s">
        <v>284</v>
      </c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</row>
    <row r="19" spans="1:189" ht="15" customHeight="1" x14ac:dyDescent="0.25">
      <c r="A19" s="4">
        <v>19</v>
      </c>
      <c r="B19" s="150" t="s">
        <v>177</v>
      </c>
      <c r="C19" s="202" t="s">
        <v>178</v>
      </c>
      <c r="D19" s="115" t="s">
        <v>87</v>
      </c>
      <c r="E19" s="114" t="s">
        <v>82</v>
      </c>
      <c r="F19" s="110" t="s">
        <v>178</v>
      </c>
      <c r="G19" s="115" t="s">
        <v>87</v>
      </c>
      <c r="H19" s="114" t="s">
        <v>82</v>
      </c>
      <c r="I19" s="110" t="s">
        <v>178</v>
      </c>
      <c r="J19" s="115" t="s">
        <v>87</v>
      </c>
      <c r="K19" s="114" t="s">
        <v>82</v>
      </c>
      <c r="L19" s="110" t="s">
        <v>178</v>
      </c>
      <c r="M19" s="115" t="s">
        <v>87</v>
      </c>
      <c r="N19" s="114" t="s">
        <v>82</v>
      </c>
      <c r="O19" s="353" t="s">
        <v>208</v>
      </c>
      <c r="P19" s="344" t="s">
        <v>275</v>
      </c>
      <c r="Q19" s="344" t="s">
        <v>14</v>
      </c>
      <c r="R19" s="345" t="s">
        <v>170</v>
      </c>
      <c r="S19" s="345" t="s">
        <v>171</v>
      </c>
      <c r="T19" s="345" t="s">
        <v>172</v>
      </c>
      <c r="U19" s="345" t="s">
        <v>173</v>
      </c>
      <c r="V19" s="344" t="s">
        <v>275</v>
      </c>
      <c r="W19" s="344" t="s">
        <v>14</v>
      </c>
      <c r="X19" s="202" t="s">
        <v>279</v>
      </c>
      <c r="Y19" s="115" t="s">
        <v>282</v>
      </c>
      <c r="Z19" s="114" t="s">
        <v>283</v>
      </c>
      <c r="AA19" s="202" t="s">
        <v>279</v>
      </c>
      <c r="AB19" s="115" t="s">
        <v>282</v>
      </c>
      <c r="AC19" s="114" t="s">
        <v>283</v>
      </c>
      <c r="AD19" s="202" t="s">
        <v>279</v>
      </c>
      <c r="AE19" s="115" t="s">
        <v>282</v>
      </c>
      <c r="AF19" s="114" t="s">
        <v>283</v>
      </c>
      <c r="AG19" s="202" t="s">
        <v>279</v>
      </c>
      <c r="AH19" s="115" t="s">
        <v>282</v>
      </c>
      <c r="AI19" s="114" t="s">
        <v>283</v>
      </c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</row>
    <row r="20" spans="1:189" ht="15" customHeight="1" thickBot="1" x14ac:dyDescent="0.3">
      <c r="A20" s="4">
        <v>20</v>
      </c>
      <c r="B20" s="151" t="s">
        <v>74</v>
      </c>
      <c r="C20" s="116"/>
      <c r="D20" s="321" t="s">
        <v>179</v>
      </c>
      <c r="E20" s="118" t="s">
        <v>86</v>
      </c>
      <c r="F20" s="116"/>
      <c r="G20" s="321" t="s">
        <v>179</v>
      </c>
      <c r="H20" s="118" t="s">
        <v>86</v>
      </c>
      <c r="I20" s="116"/>
      <c r="J20" s="321" t="s">
        <v>179</v>
      </c>
      <c r="K20" s="118" t="s">
        <v>86</v>
      </c>
      <c r="L20" s="116"/>
      <c r="M20" s="321" t="s">
        <v>179</v>
      </c>
      <c r="N20" s="118" t="s">
        <v>86</v>
      </c>
      <c r="O20" s="354" t="s">
        <v>91</v>
      </c>
      <c r="P20" s="343"/>
      <c r="Q20" s="343"/>
      <c r="R20" s="484">
        <f>'D1. Member Months'!F9-1</f>
        <v>44439</v>
      </c>
      <c r="S20" s="484">
        <f>'D1. Member Months'!G9-1</f>
        <v>44530</v>
      </c>
      <c r="T20" s="485">
        <f>'D1. Member Months'!H9-1</f>
        <v>44620</v>
      </c>
      <c r="U20" s="485">
        <f>'D1. Member Months'!F6</f>
        <v>44712</v>
      </c>
      <c r="V20" s="343"/>
      <c r="W20" s="343"/>
      <c r="X20" s="116">
        <f>R20</f>
        <v>44439</v>
      </c>
      <c r="Y20" s="321" t="s">
        <v>280</v>
      </c>
      <c r="Z20" s="118"/>
      <c r="AA20" s="116">
        <f>S20</f>
        <v>44530</v>
      </c>
      <c r="AB20" s="321" t="s">
        <v>280</v>
      </c>
      <c r="AC20" s="118"/>
      <c r="AD20" s="116">
        <f>T20</f>
        <v>44620</v>
      </c>
      <c r="AE20" s="321" t="s">
        <v>280</v>
      </c>
      <c r="AF20" s="118"/>
      <c r="AG20" s="116">
        <f>U20</f>
        <v>44712</v>
      </c>
      <c r="AH20" s="321" t="s">
        <v>280</v>
      </c>
      <c r="AI20" s="118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</row>
    <row r="21" spans="1:189" ht="15" customHeight="1" thickBot="1" x14ac:dyDescent="0.3">
      <c r="A21" s="4">
        <v>21</v>
      </c>
      <c r="B21" s="405" t="s">
        <v>519</v>
      </c>
      <c r="C21" s="210">
        <f>'D1. Member Months'!E10</f>
        <v>8696.6833826052734</v>
      </c>
      <c r="D21" s="298">
        <f>C21*($D10+$E10+$F10)</f>
        <v>4400146.2533294046</v>
      </c>
      <c r="E21" s="211">
        <f>C21*$G10</f>
        <v>74978.964954574491</v>
      </c>
      <c r="F21" s="210">
        <f>'D1. Member Months'!F10</f>
        <v>8605.8994991332384</v>
      </c>
      <c r="G21" s="298">
        <f>F21*($D10+$E10+$F10)</f>
        <v>4354213.5285022417</v>
      </c>
      <c r="H21" s="211">
        <f>F21*$G10</f>
        <v>74196.266388026153</v>
      </c>
      <c r="I21" s="210">
        <f>'D1. Member Months'!G10</f>
        <v>8100.3983298003095</v>
      </c>
      <c r="J21" s="298">
        <f>I21*($D10+$E10+$F10)</f>
        <v>4098451.7652600817</v>
      </c>
      <c r="K21" s="211">
        <f>I21*$G10</f>
        <v>69838.058460654676</v>
      </c>
      <c r="L21" s="210">
        <f>'D1. Member Months'!H10</f>
        <v>8935.6180954837837</v>
      </c>
      <c r="M21" s="298">
        <f>L21*($D10+$E10+$F10)</f>
        <v>4521036.9004197167</v>
      </c>
      <c r="N21" s="211">
        <f>L21*$G10</f>
        <v>77038.954570751855</v>
      </c>
      <c r="O21" s="374">
        <f>D21+E21+G21+H21+J21+K21+M21+N21</f>
        <v>17669900.691885453</v>
      </c>
      <c r="P21" s="419" t="s">
        <v>271</v>
      </c>
      <c r="Q21" s="405" t="s">
        <v>327</v>
      </c>
      <c r="R21" s="346">
        <f>D21</f>
        <v>4400146.2533294046</v>
      </c>
      <c r="S21" s="346">
        <f>G21</f>
        <v>4354213.5285022417</v>
      </c>
      <c r="T21" s="346">
        <f>J21</f>
        <v>4098451.7652600817</v>
      </c>
      <c r="U21" s="346">
        <f>M21</f>
        <v>4521036.9004197167</v>
      </c>
      <c r="V21" s="419" t="s">
        <v>271</v>
      </c>
      <c r="W21" s="405" t="s">
        <v>327</v>
      </c>
      <c r="X21" s="355"/>
      <c r="Y21" s="356"/>
      <c r="Z21" s="357" t="e">
        <f>Y21/X21</f>
        <v>#DIV/0!</v>
      </c>
      <c r="AA21" s="355"/>
      <c r="AB21" s="356"/>
      <c r="AC21" s="357" t="e">
        <f>AB21/AA21</f>
        <v>#DIV/0!</v>
      </c>
      <c r="AD21" s="355"/>
      <c r="AE21" s="356"/>
      <c r="AF21" s="357" t="e">
        <f>AE21/AD21</f>
        <v>#DIV/0!</v>
      </c>
      <c r="AG21" s="355"/>
      <c r="AH21" s="356"/>
      <c r="AI21" s="357" t="e">
        <f>AH21/AG21</f>
        <v>#DIV/0!</v>
      </c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</row>
    <row r="22" spans="1:189" ht="15" customHeight="1" thickBot="1" x14ac:dyDescent="0.3">
      <c r="A22" s="4">
        <v>22</v>
      </c>
      <c r="B22" s="405" t="s">
        <v>520</v>
      </c>
      <c r="C22" s="210">
        <f>'D1. Member Months'!E11</f>
        <v>35079.550355606269</v>
      </c>
      <c r="D22" s="298">
        <f>C22*($D11+$E11+$F11)</f>
        <v>50035201.138970353</v>
      </c>
      <c r="E22" s="211">
        <f>C22*$G11</f>
        <v>1358724.6710720956</v>
      </c>
      <c r="F22" s="210">
        <f>'D1. Member Months'!F11</f>
        <v>35819.858826819327</v>
      </c>
      <c r="G22" s="298">
        <f>F22*($D11+$E11+$F11)</f>
        <v>51091129.247698493</v>
      </c>
      <c r="H22" s="211">
        <f>F22*$G11</f>
        <v>1387398.7952796225</v>
      </c>
      <c r="I22" s="210">
        <f>'D1. Member Months'!G11</f>
        <v>36575.79054938523</v>
      </c>
      <c r="J22" s="298">
        <f>I22*($D11+$E11+$F11)</f>
        <v>52169341.351402625</v>
      </c>
      <c r="K22" s="211">
        <f>I22*$G11</f>
        <v>1416678.0497365477</v>
      </c>
      <c r="L22" s="210">
        <f>'D1. Member Months'!H11</f>
        <v>37347.675231786758</v>
      </c>
      <c r="M22" s="298">
        <f>L22*($D11+$E11+$F11)</f>
        <v>53270307.724931933</v>
      </c>
      <c r="N22" s="211">
        <f>L22*$G11</f>
        <v>1446575.2049329509</v>
      </c>
      <c r="O22" s="374">
        <f>D22+E22+G22+H22+J22+K22+M22+N22</f>
        <v>212175356.18402463</v>
      </c>
      <c r="P22" s="419" t="s">
        <v>271</v>
      </c>
      <c r="Q22" s="405" t="s">
        <v>328</v>
      </c>
      <c r="R22" s="346">
        <f>D22</f>
        <v>50035201.138970353</v>
      </c>
      <c r="S22" s="346">
        <f>G22</f>
        <v>51091129.247698493</v>
      </c>
      <c r="T22" s="346">
        <f>J22</f>
        <v>52169341.351402625</v>
      </c>
      <c r="U22" s="346">
        <f>M22</f>
        <v>53270307.724931933</v>
      </c>
      <c r="V22" s="419" t="s">
        <v>271</v>
      </c>
      <c r="W22" s="405" t="s">
        <v>328</v>
      </c>
      <c r="X22" s="355"/>
      <c r="Y22" s="356"/>
      <c r="Z22" s="357" t="e">
        <f>Y22/X22</f>
        <v>#DIV/0!</v>
      </c>
      <c r="AA22" s="355"/>
      <c r="AB22" s="356"/>
      <c r="AC22" s="357" t="e">
        <f>AB22/AA22</f>
        <v>#DIV/0!</v>
      </c>
      <c r="AD22" s="355"/>
      <c r="AE22" s="356"/>
      <c r="AF22" s="357" t="e">
        <f>AE22/AD22</f>
        <v>#DIV/0!</v>
      </c>
      <c r="AG22" s="355"/>
      <c r="AH22" s="356"/>
      <c r="AI22" s="357" t="e">
        <f>AH22/AG22</f>
        <v>#DIV/0!</v>
      </c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</row>
    <row r="23" spans="1:189" ht="15" customHeight="1" thickBot="1" x14ac:dyDescent="0.3">
      <c r="A23" s="4">
        <v>23</v>
      </c>
      <c r="B23" s="405" t="s">
        <v>521</v>
      </c>
      <c r="C23" s="210">
        <f>'D1. Member Months'!E12</f>
        <v>17854.341161771801</v>
      </c>
      <c r="D23" s="298">
        <f>C23*($D12+$E12+$F12)</f>
        <v>62593459.387224995</v>
      </c>
      <c r="E23" s="211">
        <f>C23*$G12</f>
        <v>688095.54822536139</v>
      </c>
      <c r="F23" s="210">
        <f>'D1. Member Months'!F12</f>
        <v>17931.623639893649</v>
      </c>
      <c r="G23" s="298">
        <f>F23*($D12+$E12+$F12)</f>
        <v>62864395.04437606</v>
      </c>
      <c r="H23" s="211">
        <f>F23*$G12</f>
        <v>691073.96835689375</v>
      </c>
      <c r="I23" s="210">
        <f>'D1. Member Months'!G12</f>
        <v>18139.450844572671</v>
      </c>
      <c r="J23" s="298">
        <f>I23*($D12+$E12+$F12)</f>
        <v>63592992.284552574</v>
      </c>
      <c r="K23" s="211">
        <f>I23*$G12</f>
        <v>699083.50357547379</v>
      </c>
      <c r="L23" s="210">
        <f>'D1. Member Months'!H12</f>
        <v>18550.340553417413</v>
      </c>
      <c r="M23" s="298">
        <f>L23*($D12+$E12+$F12)</f>
        <v>65033482.75519897</v>
      </c>
      <c r="N23" s="211">
        <f>L23*$G12</f>
        <v>714918.94532635971</v>
      </c>
      <c r="O23" s="374">
        <f>D23+E23+G23+H23+J23+K23+M23+N23</f>
        <v>256877501.43683669</v>
      </c>
      <c r="P23" s="419" t="s">
        <v>274</v>
      </c>
      <c r="Q23" s="405" t="s">
        <v>329</v>
      </c>
      <c r="R23" s="346">
        <f>D23</f>
        <v>62593459.387224995</v>
      </c>
      <c r="S23" s="346">
        <f>G23</f>
        <v>62864395.04437606</v>
      </c>
      <c r="T23" s="346">
        <f>J23</f>
        <v>63592992.284552574</v>
      </c>
      <c r="U23" s="346">
        <f>M23</f>
        <v>65033482.75519897</v>
      </c>
      <c r="V23" s="419" t="s">
        <v>274</v>
      </c>
      <c r="W23" s="405" t="s">
        <v>329</v>
      </c>
      <c r="X23" s="355"/>
      <c r="Y23" s="356"/>
      <c r="Z23" s="357" t="e">
        <f>Y23/X23</f>
        <v>#DIV/0!</v>
      </c>
      <c r="AA23" s="355"/>
      <c r="AB23" s="356"/>
      <c r="AC23" s="357" t="e">
        <f>AB23/AA23</f>
        <v>#DIV/0!</v>
      </c>
      <c r="AD23" s="355"/>
      <c r="AE23" s="356"/>
      <c r="AF23" s="357" t="e">
        <f>AE23/AD23</f>
        <v>#DIV/0!</v>
      </c>
      <c r="AG23" s="355"/>
      <c r="AH23" s="356"/>
      <c r="AI23" s="357" t="e">
        <f>AH23/AG23</f>
        <v>#DIV/0!</v>
      </c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</row>
    <row r="24" spans="1:189" ht="15" customHeight="1" thickBot="1" x14ac:dyDescent="0.3">
      <c r="A24" s="4">
        <v>24</v>
      </c>
      <c r="B24" s="405" t="s">
        <v>546</v>
      </c>
      <c r="C24" s="212">
        <f>'D1. Member Months'!E13</f>
        <v>95753.440411591771</v>
      </c>
      <c r="D24" s="299">
        <f>C24*($D13+$E13+$F13)</f>
        <v>34113132.760601953</v>
      </c>
      <c r="E24" s="213">
        <f>C24*$G13</f>
        <v>620160.23042701615</v>
      </c>
      <c r="F24" s="212">
        <f>'D1. Member Months'!F13</f>
        <v>98740.26057091754</v>
      </c>
      <c r="G24" s="299">
        <f>F24*($D13+$E13+$F13)</f>
        <v>35177217.687359191</v>
      </c>
      <c r="H24" s="213">
        <f>F24*$G13</f>
        <v>639504.77899142774</v>
      </c>
      <c r="I24" s="212">
        <f>'D1. Member Months'!G13</f>
        <v>93775.811393725773</v>
      </c>
      <c r="J24" s="299">
        <f>I24*($D13+$E13+$F13)</f>
        <v>33408582.397213496</v>
      </c>
      <c r="K24" s="213">
        <f>I24*$G13</f>
        <v>607351.84607918374</v>
      </c>
      <c r="L24" s="212">
        <f>'D1. Member Months'!H13</f>
        <v>93824.31053064196</v>
      </c>
      <c r="M24" s="299">
        <f>L24*($D13+$E13+$F13)</f>
        <v>33425860.705849562</v>
      </c>
      <c r="N24" s="213">
        <f>L24*$G13</f>
        <v>607665.95736120315</v>
      </c>
      <c r="O24" s="375">
        <f>D24+E24+G24+H24+J24+K24+M24+N24</f>
        <v>138599476.36388305</v>
      </c>
      <c r="P24" s="419" t="s">
        <v>274</v>
      </c>
      <c r="Q24" s="406" t="s">
        <v>330</v>
      </c>
      <c r="R24" s="346">
        <f>D24</f>
        <v>34113132.760601953</v>
      </c>
      <c r="S24" s="346">
        <f>G24</f>
        <v>35177217.687359191</v>
      </c>
      <c r="T24" s="346">
        <f>J24</f>
        <v>33408582.397213496</v>
      </c>
      <c r="U24" s="346">
        <f>M24</f>
        <v>33425860.705849562</v>
      </c>
      <c r="V24" s="419" t="s">
        <v>274</v>
      </c>
      <c r="W24" s="406" t="s">
        <v>330</v>
      </c>
      <c r="X24" s="358"/>
      <c r="Y24" s="359"/>
      <c r="Z24" s="369" t="e">
        <f>Y24/X24</f>
        <v>#DIV/0!</v>
      </c>
      <c r="AA24" s="358"/>
      <c r="AB24" s="359"/>
      <c r="AC24" s="357" t="e">
        <f>AB24/AA24</f>
        <v>#DIV/0!</v>
      </c>
      <c r="AD24" s="358"/>
      <c r="AE24" s="359"/>
      <c r="AF24" s="357" t="e">
        <f>AE24/AD24</f>
        <v>#DIV/0!</v>
      </c>
      <c r="AG24" s="358"/>
      <c r="AH24" s="359"/>
      <c r="AI24" s="357" t="e">
        <f>AH24/AG24</f>
        <v>#DIV/0!</v>
      </c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</row>
    <row r="25" spans="1:189" ht="15" customHeight="1" thickTop="1" thickBot="1" x14ac:dyDescent="0.3">
      <c r="A25" s="4">
        <v>25</v>
      </c>
      <c r="B25" s="124" t="s">
        <v>98</v>
      </c>
      <c r="C25" s="316">
        <f>SUM(C21:C24)</f>
        <v>157384.01531157512</v>
      </c>
      <c r="D25" s="317">
        <f t="shared" ref="D25:O25" si="0">SUM(D21:D24)</f>
        <v>151141939.54012668</v>
      </c>
      <c r="E25" s="318">
        <f t="shared" si="0"/>
        <v>2741959.4146790477</v>
      </c>
      <c r="F25" s="316">
        <f t="shared" si="0"/>
        <v>161097.64253676374</v>
      </c>
      <c r="G25" s="317">
        <f t="shared" si="0"/>
        <v>153486955.50793597</v>
      </c>
      <c r="H25" s="318">
        <f t="shared" si="0"/>
        <v>2792173.8090159702</v>
      </c>
      <c r="I25" s="316">
        <f t="shared" si="0"/>
        <v>156591.45111748399</v>
      </c>
      <c r="J25" s="317">
        <f t="shared" si="0"/>
        <v>153269367.79842877</v>
      </c>
      <c r="K25" s="318">
        <f t="shared" si="0"/>
        <v>2792951.4578518597</v>
      </c>
      <c r="L25" s="316">
        <f t="shared" si="0"/>
        <v>158657.94441132993</v>
      </c>
      <c r="M25" s="317">
        <f t="shared" si="0"/>
        <v>156250688.08640018</v>
      </c>
      <c r="N25" s="318">
        <f t="shared" si="0"/>
        <v>2846199.0621912656</v>
      </c>
      <c r="O25" s="376">
        <f t="shared" si="0"/>
        <v>625322234.67662978</v>
      </c>
      <c r="P25" s="336" t="s">
        <v>273</v>
      </c>
      <c r="Q25" s="336"/>
      <c r="R25" s="346">
        <f>E25</f>
        <v>2741959.4146790477</v>
      </c>
      <c r="S25" s="346">
        <f>H25</f>
        <v>2792173.8090159702</v>
      </c>
      <c r="T25" s="346">
        <f>K25</f>
        <v>2792951.4578518597</v>
      </c>
      <c r="U25" s="346">
        <f>N25</f>
        <v>2846199.0621912656</v>
      </c>
      <c r="V25" s="336" t="s">
        <v>273</v>
      </c>
      <c r="W25" s="351" t="s">
        <v>24</v>
      </c>
      <c r="X25" s="370"/>
      <c r="Y25" s="371"/>
      <c r="Z25" s="372" t="e">
        <f>Y25/X25</f>
        <v>#DIV/0!</v>
      </c>
      <c r="AA25" s="370"/>
      <c r="AB25" s="371"/>
      <c r="AC25" s="372" t="e">
        <f>AB25/AA25</f>
        <v>#DIV/0!</v>
      </c>
      <c r="AD25" s="370"/>
      <c r="AE25" s="371"/>
      <c r="AF25" s="372" t="e">
        <f>AE25/AD25</f>
        <v>#DIV/0!</v>
      </c>
      <c r="AG25" s="370"/>
      <c r="AH25" s="371"/>
      <c r="AI25" s="372" t="e">
        <f>AH25/AG25</f>
        <v>#DIV/0!</v>
      </c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</row>
    <row r="26" spans="1:189" ht="21" customHeight="1" x14ac:dyDescent="0.25">
      <c r="A26" s="4">
        <v>26</v>
      </c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350"/>
      <c r="R26" s="8"/>
      <c r="S26" s="8"/>
      <c r="T26" s="8"/>
      <c r="U26" s="384"/>
      <c r="Z26" s="8"/>
      <c r="AA26" s="8"/>
      <c r="AB26" s="8"/>
      <c r="AC26" s="8"/>
      <c r="AD26" s="8"/>
      <c r="AE26" s="8"/>
      <c r="AF26" s="8"/>
      <c r="AG26" s="350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</row>
    <row r="27" spans="1:189" s="8" customFormat="1" ht="15" customHeight="1" thickBot="1" x14ac:dyDescent="0.3">
      <c r="A27" s="4">
        <v>27</v>
      </c>
      <c r="B27" s="274" t="s">
        <v>16</v>
      </c>
      <c r="C27" s="204"/>
      <c r="D27" s="106"/>
      <c r="E27" s="106"/>
      <c r="F27" s="106"/>
      <c r="G27" s="106"/>
      <c r="H27" s="106"/>
      <c r="I27" s="106"/>
      <c r="J27" s="106"/>
      <c r="K27" s="106"/>
      <c r="L27" s="106"/>
      <c r="M27" s="106"/>
      <c r="N27" s="106"/>
      <c r="O27" s="72"/>
      <c r="P27" s="72"/>
      <c r="Q27" s="72"/>
      <c r="R27" s="106"/>
      <c r="S27" s="106"/>
      <c r="T27" s="106"/>
      <c r="U27" s="106"/>
      <c r="V27" s="72"/>
      <c r="W27" s="72"/>
      <c r="X27" s="72"/>
      <c r="Y27" s="72"/>
      <c r="Z27" s="106"/>
      <c r="AA27" s="106"/>
      <c r="AB27" s="106"/>
      <c r="AC27" s="106"/>
      <c r="AD27" s="106"/>
      <c r="AE27" s="106"/>
      <c r="AF27" s="106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</row>
    <row r="28" spans="1:189" ht="15" customHeight="1" thickBot="1" x14ac:dyDescent="0.3">
      <c r="A28" s="4">
        <v>28</v>
      </c>
      <c r="B28" s="107"/>
      <c r="C28" s="217" t="s">
        <v>17</v>
      </c>
      <c r="D28" s="129" t="s">
        <v>309</v>
      </c>
      <c r="E28" s="108"/>
      <c r="F28" s="108"/>
      <c r="G28" s="108"/>
      <c r="H28" s="109"/>
      <c r="I28" s="365" t="s">
        <v>176</v>
      </c>
      <c r="V28" s="31" t="str">
        <f>P38</f>
        <v>Projected Year 2</v>
      </c>
      <c r="X28" s="26"/>
      <c r="Y28" s="26"/>
      <c r="Z28" s="26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</row>
    <row r="29" spans="1:189" ht="15" customHeight="1" thickBot="1" x14ac:dyDescent="0.3">
      <c r="A29" s="4">
        <v>29</v>
      </c>
      <c r="B29" s="110" t="s">
        <v>174</v>
      </c>
      <c r="C29" s="218" t="s">
        <v>184</v>
      </c>
      <c r="D29" s="130" t="s">
        <v>176</v>
      </c>
      <c r="E29" s="111" t="s">
        <v>176</v>
      </c>
      <c r="F29" s="111" t="s">
        <v>176</v>
      </c>
      <c r="G29" s="111" t="s">
        <v>176</v>
      </c>
      <c r="H29" s="112" t="s">
        <v>176</v>
      </c>
      <c r="I29" s="353" t="s">
        <v>281</v>
      </c>
      <c r="V29" s="341"/>
      <c r="W29" s="341"/>
      <c r="X29" s="347" t="s">
        <v>297</v>
      </c>
      <c r="Y29" s="348"/>
      <c r="Z29" s="34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</row>
    <row r="30" spans="1:189" ht="15" customHeight="1" x14ac:dyDescent="0.25">
      <c r="A30" s="4">
        <v>30</v>
      </c>
      <c r="B30" s="110" t="s">
        <v>177</v>
      </c>
      <c r="C30" s="219" t="s">
        <v>140</v>
      </c>
      <c r="D30" s="131" t="s">
        <v>136</v>
      </c>
      <c r="E30" s="113" t="s">
        <v>81</v>
      </c>
      <c r="F30" s="113" t="s">
        <v>137</v>
      </c>
      <c r="G30" s="113" t="s">
        <v>82</v>
      </c>
      <c r="H30" s="114" t="s">
        <v>139</v>
      </c>
      <c r="I30" s="353" t="s">
        <v>87</v>
      </c>
      <c r="V30" s="342"/>
      <c r="W30" s="342"/>
      <c r="X30" s="149" t="s">
        <v>296</v>
      </c>
      <c r="Y30" s="366"/>
      <c r="Z30" s="366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</row>
    <row r="31" spans="1:189" ht="15" customHeight="1" thickBot="1" x14ac:dyDescent="0.3">
      <c r="A31" s="4">
        <v>31</v>
      </c>
      <c r="B31" s="116" t="s">
        <v>74</v>
      </c>
      <c r="C31" s="220" t="s">
        <v>19</v>
      </c>
      <c r="D31" s="132" t="s">
        <v>148</v>
      </c>
      <c r="E31" s="117" t="s">
        <v>148</v>
      </c>
      <c r="F31" s="117" t="s">
        <v>148</v>
      </c>
      <c r="G31" s="117" t="s">
        <v>148</v>
      </c>
      <c r="H31" s="118" t="s">
        <v>91</v>
      </c>
      <c r="I31" s="354" t="s">
        <v>299</v>
      </c>
      <c r="V31" s="344" t="s">
        <v>275</v>
      </c>
      <c r="W31" s="344" t="s">
        <v>14</v>
      </c>
      <c r="X31" s="352" t="s">
        <v>300</v>
      </c>
      <c r="Y31" s="4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</row>
    <row r="32" spans="1:189" ht="15" customHeight="1" thickBot="1" x14ac:dyDescent="0.3">
      <c r="A32" s="4">
        <v>32</v>
      </c>
      <c r="B32" s="405" t="s">
        <v>519</v>
      </c>
      <c r="C32" s="221">
        <f>'D1. Member Months'!N10</f>
        <v>35424.902250928171</v>
      </c>
      <c r="D32" s="214">
        <f>'D5. Waiver Cost Projection'!O30</f>
        <v>537.17435390413664</v>
      </c>
      <c r="E32" s="49">
        <f>'D5. Waiver Cost Projection'!S30</f>
        <v>0</v>
      </c>
      <c r="F32" s="49">
        <f>'D5. Waiver Cost Projection'!W30</f>
        <v>0</v>
      </c>
      <c r="G32" s="49">
        <f>'D5. Waiver Cost Projection'!AA30</f>
        <v>8.7939897187282945</v>
      </c>
      <c r="H32" s="161">
        <f>'D5. Waiver Cost Projection'!AB30</f>
        <v>545.96834362286495</v>
      </c>
      <c r="I32" s="364">
        <f>H32-G32</f>
        <v>537.17435390413664</v>
      </c>
      <c r="V32" s="343"/>
      <c r="W32" s="343"/>
      <c r="X32" s="354" t="s">
        <v>298</v>
      </c>
      <c r="Y32" s="41"/>
      <c r="AH32" s="207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</row>
    <row r="33" spans="1:189" ht="15" customHeight="1" thickBot="1" x14ac:dyDescent="0.3">
      <c r="A33" s="4">
        <v>33</v>
      </c>
      <c r="B33" s="405" t="s">
        <v>520</v>
      </c>
      <c r="C33" s="221">
        <f>'D1. Member Months'!N11</f>
        <v>157440.54053312328</v>
      </c>
      <c r="D33" s="214">
        <f>'D5. Waiver Cost Projection'!O31</f>
        <v>1514.340192811366</v>
      </c>
      <c r="E33" s="49">
        <f>'D5. Waiver Cost Projection'!S31</f>
        <v>0</v>
      </c>
      <c r="F33" s="49">
        <f>'D5. Waiver Cost Projection'!W31</f>
        <v>0</v>
      </c>
      <c r="G33" s="49">
        <f>'D5. Waiver Cost Projection'!AA31</f>
        <v>39.507324080396849</v>
      </c>
      <c r="H33" s="161">
        <f>'D5. Waiver Cost Projection'!AB31</f>
        <v>1553.8475168917628</v>
      </c>
      <c r="I33" s="157">
        <f>H33-G33</f>
        <v>1514.340192811366</v>
      </c>
      <c r="V33" s="419" t="s">
        <v>271</v>
      </c>
      <c r="W33" s="405" t="s">
        <v>327</v>
      </c>
      <c r="X33" s="385">
        <f>I32</f>
        <v>537.17435390413664</v>
      </c>
      <c r="Y33" s="367"/>
      <c r="AH33" s="207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</row>
    <row r="34" spans="1:189" ht="15" customHeight="1" thickBot="1" x14ac:dyDescent="0.3">
      <c r="A34" s="4">
        <v>34</v>
      </c>
      <c r="B34" s="405" t="s">
        <v>521</v>
      </c>
      <c r="C34" s="221">
        <f>'D1. Member Months'!N12</f>
        <v>75690.622200868485</v>
      </c>
      <c r="D34" s="214">
        <f>'D5. Waiver Cost Projection'!O32</f>
        <v>3722.0906237473268</v>
      </c>
      <c r="E34" s="49">
        <f>'D5. Waiver Cost Projection'!S32</f>
        <v>0</v>
      </c>
      <c r="F34" s="49">
        <f>'D5. Waiver Cost Projection'!W32</f>
        <v>0</v>
      </c>
      <c r="G34" s="49">
        <f>'D5. Waiver Cost Projection'!AA32</f>
        <v>39.310185283824765</v>
      </c>
      <c r="H34" s="161">
        <f>'D5. Waiver Cost Projection'!AB32</f>
        <v>3761.4008090311518</v>
      </c>
      <c r="I34" s="157">
        <f>H34-G34</f>
        <v>3722.0906237473268</v>
      </c>
      <c r="V34" s="419" t="s">
        <v>271</v>
      </c>
      <c r="W34" s="405" t="s">
        <v>328</v>
      </c>
      <c r="X34" s="385">
        <f>I33</f>
        <v>1514.340192811366</v>
      </c>
      <c r="AH34" s="207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</row>
    <row r="35" spans="1:189" ht="15" customHeight="1" thickBot="1" x14ac:dyDescent="0.3">
      <c r="A35" s="4">
        <v>35</v>
      </c>
      <c r="B35" s="405" t="s">
        <v>546</v>
      </c>
      <c r="C35" s="222">
        <f>'D1. Member Months'!N13</f>
        <v>398053.00207776064</v>
      </c>
      <c r="D35" s="215">
        <f>'D5. Waiver Cost Projection'!O33</f>
        <v>357.95475548205917</v>
      </c>
      <c r="E35" s="121">
        <f>'D5. Waiver Cost Projection'!S33</f>
        <v>0</v>
      </c>
      <c r="F35" s="121">
        <f>'D5. Waiver Cost Projection'!W33</f>
        <v>0</v>
      </c>
      <c r="G35" s="121">
        <f>'D5. Waiver Cost Projection'!AA33</f>
        <v>6.606169264691812</v>
      </c>
      <c r="H35" s="363">
        <f>'D5. Waiver Cost Projection'!AB33</f>
        <v>364.56092474675097</v>
      </c>
      <c r="I35" s="157">
        <f>H35-G35</f>
        <v>357.95475548205917</v>
      </c>
      <c r="V35" s="419" t="s">
        <v>274</v>
      </c>
      <c r="W35" s="405" t="s">
        <v>329</v>
      </c>
      <c r="X35" s="385">
        <f>I34</f>
        <v>3722.0906237473268</v>
      </c>
      <c r="AH35" s="207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</row>
    <row r="36" spans="1:189" ht="15" customHeight="1" thickTop="1" thickBot="1" x14ac:dyDescent="0.3">
      <c r="A36" s="4">
        <v>36</v>
      </c>
      <c r="B36" s="123" t="s">
        <v>98</v>
      </c>
      <c r="C36" s="223">
        <f>SUM(C32:C35)</f>
        <v>666609.06706268061</v>
      </c>
      <c r="D36" s="216"/>
      <c r="E36" s="208"/>
      <c r="F36" s="208"/>
      <c r="G36" s="208"/>
      <c r="H36" s="209"/>
      <c r="I36" s="209"/>
      <c r="V36" s="419" t="s">
        <v>274</v>
      </c>
      <c r="W36" s="406" t="s">
        <v>330</v>
      </c>
      <c r="X36" s="385">
        <f>I35</f>
        <v>357.95475548205917</v>
      </c>
      <c r="AH36" s="207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</row>
    <row r="37" spans="1:189" ht="15" customHeight="1" thickBot="1" x14ac:dyDescent="0.3">
      <c r="A37" s="4">
        <v>37</v>
      </c>
      <c r="B37" s="275" t="s">
        <v>314</v>
      </c>
      <c r="C37" s="224"/>
      <c r="D37" s="205">
        <f>SUMPRODUCT(D32:D35,$C$32:$C$35)/$C$36</f>
        <v>1022.5786617586128</v>
      </c>
      <c r="E37" s="206">
        <f>SUMPRODUCT(E32:E35,$C$32:$C$35)/$C$36</f>
        <v>0</v>
      </c>
      <c r="F37" s="206">
        <f>SUMPRODUCT(F32:F35,$C$32:$C$35)/$C$36</f>
        <v>0</v>
      </c>
      <c r="G37" s="362">
        <f>SUMPRODUCT(G32:G35,$C$32:$C$35)/$C$36</f>
        <v>18.206470891407648</v>
      </c>
      <c r="H37" s="206">
        <f>SUMPRODUCT(H32:H35,$C$32:$C$35)/$C$36</f>
        <v>1040.7851326500206</v>
      </c>
      <c r="I37" s="206"/>
      <c r="J37" s="125"/>
      <c r="K37" s="126"/>
      <c r="L37" s="126"/>
      <c r="M37" s="126"/>
      <c r="N37" s="126"/>
      <c r="O37" s="127"/>
      <c r="P37" s="127"/>
      <c r="Q37" s="127"/>
      <c r="R37" s="126"/>
      <c r="S37" s="126"/>
      <c r="T37" s="126"/>
      <c r="U37" s="126"/>
      <c r="V37" s="336" t="s">
        <v>273</v>
      </c>
      <c r="W37" s="351" t="s">
        <v>24</v>
      </c>
      <c r="X37" s="386">
        <f>G37</f>
        <v>18.206470891407648</v>
      </c>
      <c r="Y37" s="127"/>
      <c r="Z37" s="127"/>
      <c r="AA37" s="126"/>
      <c r="AB37" s="126"/>
      <c r="AC37" s="126"/>
      <c r="AD37" s="126"/>
      <c r="AE37" s="126"/>
      <c r="AF37" s="126"/>
      <c r="AH37" s="20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</row>
    <row r="38" spans="1:189" ht="18" customHeight="1" thickBot="1" x14ac:dyDescent="0.3">
      <c r="A38" s="4">
        <v>38</v>
      </c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22" t="s">
        <v>16</v>
      </c>
      <c r="Q38" s="486">
        <f>'D1. Member Months'!H6</f>
        <v>44713</v>
      </c>
      <c r="R38" s="486" t="s">
        <v>388</v>
      </c>
      <c r="S38" s="486">
        <f>'D1. Member Months'!J6</f>
        <v>45077</v>
      </c>
      <c r="T38" s="8"/>
      <c r="U38" s="377"/>
      <c r="V38" s="31" t="str">
        <f>P38</f>
        <v>Projected Year 2</v>
      </c>
      <c r="X38" s="368" t="s">
        <v>293</v>
      </c>
      <c r="Y38" s="360"/>
      <c r="Z38" s="361"/>
      <c r="AA38" s="368" t="s">
        <v>293</v>
      </c>
      <c r="AB38" s="360"/>
      <c r="AC38" s="361"/>
      <c r="AD38" s="368" t="s">
        <v>293</v>
      </c>
      <c r="AE38" s="360"/>
      <c r="AF38" s="361"/>
      <c r="AG38" s="368" t="s">
        <v>293</v>
      </c>
      <c r="AH38" s="360"/>
      <c r="AI38" s="361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</row>
    <row r="39" spans="1:189" ht="15" customHeight="1" x14ac:dyDescent="0.25">
      <c r="A39" s="4">
        <v>39</v>
      </c>
      <c r="B39" s="149"/>
      <c r="C39" s="320" t="s">
        <v>180</v>
      </c>
      <c r="D39" s="108"/>
      <c r="E39" s="109"/>
      <c r="F39" s="320" t="s">
        <v>181</v>
      </c>
      <c r="G39" s="108"/>
      <c r="H39" s="109"/>
      <c r="I39" s="320" t="s">
        <v>182</v>
      </c>
      <c r="J39" s="108"/>
      <c r="K39" s="109"/>
      <c r="L39" s="320" t="s">
        <v>183</v>
      </c>
      <c r="M39" s="108"/>
      <c r="N39" s="109"/>
      <c r="O39" s="373"/>
      <c r="P39" s="341"/>
      <c r="Q39" s="341"/>
      <c r="R39" s="337"/>
      <c r="S39" s="337"/>
      <c r="T39" s="337"/>
      <c r="U39" s="337"/>
      <c r="V39" s="341"/>
      <c r="W39" s="341"/>
      <c r="X39" s="320" t="s">
        <v>289</v>
      </c>
      <c r="Y39" s="108"/>
      <c r="Z39" s="109"/>
      <c r="AA39" s="320" t="s">
        <v>290</v>
      </c>
      <c r="AB39" s="108"/>
      <c r="AC39" s="109"/>
      <c r="AD39" s="320" t="s">
        <v>291</v>
      </c>
      <c r="AE39" s="108"/>
      <c r="AF39" s="109"/>
      <c r="AG39" s="320" t="s">
        <v>292</v>
      </c>
      <c r="AH39" s="108"/>
      <c r="AI39" s="10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</row>
    <row r="40" spans="1:189" ht="15" customHeight="1" x14ac:dyDescent="0.25">
      <c r="A40" s="4">
        <v>40</v>
      </c>
      <c r="B40" s="150" t="s">
        <v>174</v>
      </c>
      <c r="C40" s="202" t="s">
        <v>140</v>
      </c>
      <c r="D40" s="115" t="s">
        <v>272</v>
      </c>
      <c r="E40" s="319" t="s">
        <v>270</v>
      </c>
      <c r="F40" s="110" t="s">
        <v>140</v>
      </c>
      <c r="G40" s="115" t="s">
        <v>272</v>
      </c>
      <c r="H40" s="319" t="s">
        <v>270</v>
      </c>
      <c r="I40" s="110" t="s">
        <v>140</v>
      </c>
      <c r="J40" s="115" t="s">
        <v>272</v>
      </c>
      <c r="K40" s="319" t="s">
        <v>270</v>
      </c>
      <c r="L40" s="110" t="s">
        <v>140</v>
      </c>
      <c r="M40" s="115" t="s">
        <v>272</v>
      </c>
      <c r="N40" s="319" t="s">
        <v>270</v>
      </c>
      <c r="O40" s="353"/>
      <c r="P40" s="342"/>
      <c r="Q40" s="342"/>
      <c r="R40" s="338"/>
      <c r="S40" s="338"/>
      <c r="T40" s="339"/>
      <c r="U40" s="340"/>
      <c r="V40" s="342"/>
      <c r="W40" s="342"/>
      <c r="X40" s="202" t="s">
        <v>140</v>
      </c>
      <c r="Y40" s="113" t="s">
        <v>284</v>
      </c>
      <c r="Z40" s="319" t="s">
        <v>284</v>
      </c>
      <c r="AA40" s="202" t="s">
        <v>140</v>
      </c>
      <c r="AB40" s="113" t="s">
        <v>284</v>
      </c>
      <c r="AC40" s="319" t="s">
        <v>284</v>
      </c>
      <c r="AD40" s="202" t="s">
        <v>140</v>
      </c>
      <c r="AE40" s="113" t="s">
        <v>284</v>
      </c>
      <c r="AF40" s="319" t="s">
        <v>284</v>
      </c>
      <c r="AG40" s="202" t="s">
        <v>140</v>
      </c>
      <c r="AH40" s="113" t="s">
        <v>284</v>
      </c>
      <c r="AI40" s="319" t="s">
        <v>284</v>
      </c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</row>
    <row r="41" spans="1:189" ht="15" customHeight="1" x14ac:dyDescent="0.25">
      <c r="A41" s="4">
        <v>41</v>
      </c>
      <c r="B41" s="150" t="s">
        <v>177</v>
      </c>
      <c r="C41" s="202" t="s">
        <v>178</v>
      </c>
      <c r="D41" s="115" t="s">
        <v>87</v>
      </c>
      <c r="E41" s="114" t="s">
        <v>82</v>
      </c>
      <c r="F41" s="110" t="s">
        <v>178</v>
      </c>
      <c r="G41" s="115" t="s">
        <v>87</v>
      </c>
      <c r="H41" s="114" t="s">
        <v>82</v>
      </c>
      <c r="I41" s="110" t="s">
        <v>178</v>
      </c>
      <c r="J41" s="115" t="s">
        <v>87</v>
      </c>
      <c r="K41" s="114" t="s">
        <v>82</v>
      </c>
      <c r="L41" s="110" t="s">
        <v>178</v>
      </c>
      <c r="M41" s="115" t="s">
        <v>87</v>
      </c>
      <c r="N41" s="114" t="s">
        <v>82</v>
      </c>
      <c r="O41" s="353" t="s">
        <v>209</v>
      </c>
      <c r="P41" s="344" t="s">
        <v>275</v>
      </c>
      <c r="Q41" s="344" t="s">
        <v>14</v>
      </c>
      <c r="R41" s="345" t="s">
        <v>180</v>
      </c>
      <c r="S41" s="345" t="s">
        <v>181</v>
      </c>
      <c r="T41" s="345" t="s">
        <v>182</v>
      </c>
      <c r="U41" s="345" t="s">
        <v>183</v>
      </c>
      <c r="V41" s="344" t="s">
        <v>275</v>
      </c>
      <c r="W41" s="344" t="s">
        <v>14</v>
      </c>
      <c r="X41" s="202" t="s">
        <v>279</v>
      </c>
      <c r="Y41" s="115" t="s">
        <v>282</v>
      </c>
      <c r="Z41" s="114" t="s">
        <v>283</v>
      </c>
      <c r="AA41" s="202" t="s">
        <v>279</v>
      </c>
      <c r="AB41" s="115" t="s">
        <v>282</v>
      </c>
      <c r="AC41" s="114" t="s">
        <v>283</v>
      </c>
      <c r="AD41" s="202" t="s">
        <v>279</v>
      </c>
      <c r="AE41" s="115" t="s">
        <v>282</v>
      </c>
      <c r="AF41" s="114" t="s">
        <v>283</v>
      </c>
      <c r="AG41" s="202" t="s">
        <v>279</v>
      </c>
      <c r="AH41" s="115" t="s">
        <v>282</v>
      </c>
      <c r="AI41" s="114" t="s">
        <v>283</v>
      </c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</row>
    <row r="42" spans="1:189" ht="15" customHeight="1" thickBot="1" x14ac:dyDescent="0.3">
      <c r="A42" s="4">
        <v>42</v>
      </c>
      <c r="B42" s="151" t="s">
        <v>74</v>
      </c>
      <c r="C42" s="116"/>
      <c r="D42" s="321" t="s">
        <v>179</v>
      </c>
      <c r="E42" s="118" t="s">
        <v>86</v>
      </c>
      <c r="F42" s="116"/>
      <c r="G42" s="321" t="s">
        <v>179</v>
      </c>
      <c r="H42" s="118" t="s">
        <v>86</v>
      </c>
      <c r="I42" s="116"/>
      <c r="J42" s="321" t="s">
        <v>179</v>
      </c>
      <c r="K42" s="118" t="s">
        <v>86</v>
      </c>
      <c r="L42" s="116"/>
      <c r="M42" s="321" t="s">
        <v>179</v>
      </c>
      <c r="N42" s="118" t="s">
        <v>86</v>
      </c>
      <c r="O42" s="354" t="s">
        <v>91</v>
      </c>
      <c r="P42" s="343"/>
      <c r="Q42" s="343"/>
      <c r="R42" s="484">
        <f>'D1. Member Months'!K9-1</f>
        <v>44804</v>
      </c>
      <c r="S42" s="484">
        <f>'D1. Member Months'!L9-1</f>
        <v>44895</v>
      </c>
      <c r="T42" s="485">
        <f>'D1. Member Months'!M9-1</f>
        <v>44985</v>
      </c>
      <c r="U42" s="485">
        <f>'D1. Member Months'!J6</f>
        <v>45077</v>
      </c>
      <c r="V42" s="343"/>
      <c r="W42" s="343"/>
      <c r="X42" s="116">
        <f>R42</f>
        <v>44804</v>
      </c>
      <c r="Y42" s="321" t="s">
        <v>280</v>
      </c>
      <c r="Z42" s="118"/>
      <c r="AA42" s="116">
        <f>S42</f>
        <v>44895</v>
      </c>
      <c r="AB42" s="321" t="s">
        <v>280</v>
      </c>
      <c r="AC42" s="118"/>
      <c r="AD42" s="116">
        <f>T42</f>
        <v>44985</v>
      </c>
      <c r="AE42" s="321" t="s">
        <v>280</v>
      </c>
      <c r="AF42" s="118"/>
      <c r="AG42" s="116">
        <f>U42</f>
        <v>45077</v>
      </c>
      <c r="AH42" s="321" t="s">
        <v>280</v>
      </c>
      <c r="AI42" s="118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</row>
    <row r="43" spans="1:189" ht="15" customHeight="1" thickBot="1" x14ac:dyDescent="0.3">
      <c r="A43" s="4">
        <v>43</v>
      </c>
      <c r="B43" s="405" t="s">
        <v>519</v>
      </c>
      <c r="C43" s="210">
        <f>'D1. Member Months'!J10</f>
        <v>8971.8033045412467</v>
      </c>
      <c r="D43" s="298">
        <f>C43*($D32+$E32+$F32)</f>
        <v>4819422.6434719423</v>
      </c>
      <c r="E43" s="211">
        <f>C43*$G32</f>
        <v>78897.946018588264</v>
      </c>
      <c r="F43" s="210">
        <f>'D1. Member Months'!K10</f>
        <v>8878.1474693336986</v>
      </c>
      <c r="G43" s="298">
        <f>F43*($D32+$E32+$F32)</f>
        <v>4769113.1307049757</v>
      </c>
      <c r="H43" s="211">
        <f>F43*$G32</f>
        <v>78074.337566674178</v>
      </c>
      <c r="I43" s="210">
        <f>'D1. Member Months'!L10</f>
        <v>8356.6547505643975</v>
      </c>
      <c r="J43" s="298">
        <f>I43*($D32+$E32+$F32)</f>
        <v>4488980.6164343646</v>
      </c>
      <c r="K43" s="211">
        <f>I43*$G32</f>
        <v>73488.335959425269</v>
      </c>
      <c r="L43" s="210">
        <f>'D1. Member Months'!M10</f>
        <v>9218.2967264888284</v>
      </c>
      <c r="M43" s="298">
        <f>L43*($D32+$E32+$F32)</f>
        <v>4951832.588148254</v>
      </c>
      <c r="N43" s="211">
        <f>L43*$G32</f>
        <v>81065.606636929457</v>
      </c>
      <c r="O43" s="374">
        <f>D43+E43+G43+H43+J43+K43+M43+N43</f>
        <v>19340875.204941154</v>
      </c>
      <c r="P43" s="419" t="s">
        <v>271</v>
      </c>
      <c r="Q43" s="405" t="s">
        <v>327</v>
      </c>
      <c r="R43" s="346">
        <f>D43</f>
        <v>4819422.6434719423</v>
      </c>
      <c r="S43" s="346">
        <f>G43</f>
        <v>4769113.1307049757</v>
      </c>
      <c r="T43" s="346">
        <f>J43</f>
        <v>4488980.6164343646</v>
      </c>
      <c r="U43" s="346">
        <f>M43</f>
        <v>4951832.588148254</v>
      </c>
      <c r="V43" s="419" t="s">
        <v>271</v>
      </c>
      <c r="W43" s="405" t="s">
        <v>327</v>
      </c>
      <c r="X43" s="355"/>
      <c r="Y43" s="356"/>
      <c r="Z43" s="357" t="e">
        <f>Y43/X43</f>
        <v>#DIV/0!</v>
      </c>
      <c r="AA43" s="355"/>
      <c r="AB43" s="356"/>
      <c r="AC43" s="357" t="e">
        <f>AB43/AA43</f>
        <v>#DIV/0!</v>
      </c>
      <c r="AD43" s="355"/>
      <c r="AE43" s="356"/>
      <c r="AF43" s="357" t="e">
        <f>AE43/AD43</f>
        <v>#DIV/0!</v>
      </c>
      <c r="AG43" s="355"/>
      <c r="AH43" s="356"/>
      <c r="AI43" s="357" t="e">
        <f>AH43/AG43</f>
        <v>#DIV/0!</v>
      </c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</row>
    <row r="44" spans="1:189" ht="15" customHeight="1" thickBot="1" x14ac:dyDescent="0.3">
      <c r="A44" s="4">
        <v>44</v>
      </c>
      <c r="B44" s="405" t="s">
        <v>520</v>
      </c>
      <c r="C44" s="210">
        <f>'D1. Member Months'!J11</f>
        <v>38135.849540577095</v>
      </c>
      <c r="D44" s="298">
        <f>C44*($D33+$E33+$F33)</f>
        <v>57750649.746302761</v>
      </c>
      <c r="E44" s="211">
        <f>C44*$G33</f>
        <v>1506645.3668808325</v>
      </c>
      <c r="F44" s="210">
        <f>'D1. Member Months'!K11</f>
        <v>38940.657247221032</v>
      </c>
      <c r="G44" s="298">
        <f>F44*($D33+$E33+$F33)</f>
        <v>58969402.403958015</v>
      </c>
      <c r="H44" s="211">
        <f>F44*$G33</f>
        <v>1538441.1657696154</v>
      </c>
      <c r="I44" s="210">
        <f>'D1. Member Months'!L11</f>
        <v>39762.449378034806</v>
      </c>
      <c r="J44" s="298">
        <f>I44*($D33+$E33+$F33)</f>
        <v>60213875.25778541</v>
      </c>
      <c r="K44" s="211">
        <f>I44*$G33</f>
        <v>1570907.9738083952</v>
      </c>
      <c r="L44" s="210">
        <f>'D1. Member Months'!M11</f>
        <v>40601.584367290343</v>
      </c>
      <c r="M44" s="298">
        <f>L44*($D33+$E33+$F33)</f>
        <v>61484611.099209405</v>
      </c>
      <c r="N44" s="211">
        <f>L44*$G33</f>
        <v>1604059.9517761141</v>
      </c>
      <c r="O44" s="374">
        <f>D44+E44+G44+H44+J44+K44+M44+N44</f>
        <v>244638592.96549058</v>
      </c>
      <c r="P44" s="419" t="s">
        <v>271</v>
      </c>
      <c r="Q44" s="405" t="s">
        <v>328</v>
      </c>
      <c r="R44" s="346">
        <f>D44</f>
        <v>57750649.746302761</v>
      </c>
      <c r="S44" s="346">
        <f>G44</f>
        <v>58969402.403958015</v>
      </c>
      <c r="T44" s="346">
        <f>J44</f>
        <v>60213875.25778541</v>
      </c>
      <c r="U44" s="346">
        <f>M44</f>
        <v>61484611.099209405</v>
      </c>
      <c r="V44" s="419" t="s">
        <v>271</v>
      </c>
      <c r="W44" s="405" t="s">
        <v>328</v>
      </c>
      <c r="X44" s="355"/>
      <c r="Y44" s="356"/>
      <c r="Z44" s="357" t="e">
        <f>Y44/X44</f>
        <v>#DIV/0!</v>
      </c>
      <c r="AA44" s="355"/>
      <c r="AB44" s="356"/>
      <c r="AC44" s="357" t="e">
        <f>AB44/AA44</f>
        <v>#DIV/0!</v>
      </c>
      <c r="AD44" s="355"/>
      <c r="AE44" s="356"/>
      <c r="AF44" s="357" t="e">
        <f>AE44/AD44</f>
        <v>#DIV/0!</v>
      </c>
      <c r="AG44" s="355"/>
      <c r="AH44" s="356"/>
      <c r="AI44" s="357" t="e">
        <f>AH44/AG44</f>
        <v>#DIV/0!</v>
      </c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</row>
    <row r="45" spans="1:189" ht="15" customHeight="1" thickBot="1" x14ac:dyDescent="0.3">
      <c r="A45" s="4">
        <v>45</v>
      </c>
      <c r="B45" s="405" t="s">
        <v>521</v>
      </c>
      <c r="C45" s="210">
        <f>'D1. Member Months'!J12</f>
        <v>18646.320678576209</v>
      </c>
      <c r="D45" s="298">
        <f>C45*($D34+$E34+$F34)</f>
        <v>69403295.365114406</v>
      </c>
      <c r="E45" s="211">
        <f>C45*$G34</f>
        <v>732990.32073644386</v>
      </c>
      <c r="F45" s="210">
        <f>'D1. Member Months'!K12</f>
        <v>18727.031238368829</v>
      </c>
      <c r="G45" s="298">
        <f>F45*($D34+$E34+$F34)</f>
        <v>69703707.382955909</v>
      </c>
      <c r="H45" s="211">
        <f>F45*$G34</f>
        <v>736163.06779625302</v>
      </c>
      <c r="I45" s="210">
        <f>'D1. Member Months'!L12</f>
        <v>18944.077203216551</v>
      </c>
      <c r="J45" s="298">
        <f>I45*($D34+$E34+$F34)</f>
        <v>70511572.133637816</v>
      </c>
      <c r="K45" s="211">
        <f>I45*$G34</f>
        <v>744695.18488952355</v>
      </c>
      <c r="L45" s="210">
        <f>'D1. Member Months'!M12</f>
        <v>19373.193080706904</v>
      </c>
      <c r="M45" s="298">
        <f>L45*($D34+$E34+$F34)</f>
        <v>72108780.31774576</v>
      </c>
      <c r="N45" s="211">
        <f>L45*$G34</f>
        <v>761563.80954190029</v>
      </c>
      <c r="O45" s="374">
        <f>D45+E45+G45+H45+J45+K45+M45+N45</f>
        <v>284702767.58241802</v>
      </c>
      <c r="P45" s="419" t="s">
        <v>274</v>
      </c>
      <c r="Q45" s="405" t="s">
        <v>329</v>
      </c>
      <c r="R45" s="346">
        <f>D45</f>
        <v>69403295.365114406</v>
      </c>
      <c r="S45" s="346">
        <f>G45</f>
        <v>69703707.382955909</v>
      </c>
      <c r="T45" s="346">
        <f>J45</f>
        <v>70511572.133637816</v>
      </c>
      <c r="U45" s="346">
        <f>M45</f>
        <v>72108780.31774576</v>
      </c>
      <c r="V45" s="419" t="s">
        <v>274</v>
      </c>
      <c r="W45" s="405" t="s">
        <v>329</v>
      </c>
      <c r="X45" s="355"/>
      <c r="Y45" s="356"/>
      <c r="Z45" s="357" t="e">
        <f>Y45/X45</f>
        <v>#DIV/0!</v>
      </c>
      <c r="AA45" s="355"/>
      <c r="AB45" s="356"/>
      <c r="AC45" s="357" t="e">
        <f>AB45/AA45</f>
        <v>#DIV/0!</v>
      </c>
      <c r="AD45" s="355"/>
      <c r="AE45" s="356"/>
      <c r="AF45" s="357" t="e">
        <f>AE45/AD45</f>
        <v>#DIV/0!</v>
      </c>
      <c r="AG45" s="355"/>
      <c r="AH45" s="356"/>
      <c r="AI45" s="357" t="e">
        <f>AH45/AG45</f>
        <v>#DIV/0!</v>
      </c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</row>
    <row r="46" spans="1:189" ht="15" customHeight="1" thickBot="1" x14ac:dyDescent="0.3">
      <c r="A46" s="4">
        <v>46</v>
      </c>
      <c r="B46" s="405" t="s">
        <v>546</v>
      </c>
      <c r="C46" s="212">
        <f>'D1. Member Months'!J13</f>
        <v>99667.862493497945</v>
      </c>
      <c r="D46" s="299">
        <f>C46*($D35+$E35+$F35)</f>
        <v>35676585.348279551</v>
      </c>
      <c r="E46" s="213">
        <f>C46*$G35</f>
        <v>658422.76988207595</v>
      </c>
      <c r="F46" s="212">
        <f>'D1. Member Months'!K13</f>
        <v>102736.78338146677</v>
      </c>
      <c r="G46" s="299">
        <f>F46*($D35+$E35+$F35)</f>
        <v>36775120.174326219</v>
      </c>
      <c r="H46" s="213">
        <f>F46*$G35</f>
        <v>678696.58072794625</v>
      </c>
      <c r="I46" s="212">
        <f>'D1. Member Months'!L13</f>
        <v>97751.247246693674</v>
      </c>
      <c r="J46" s="299">
        <f>I46*($D35+$E35+$F35)</f>
        <v>34990523.80625654</v>
      </c>
      <c r="K46" s="213">
        <f>I46*$G35</f>
        <v>645761.28514639789</v>
      </c>
      <c r="L46" s="212">
        <f>'D1. Member Months'!M13</f>
        <v>97897.108956102253</v>
      </c>
      <c r="M46" s="299">
        <f>L46*($D35+$E35+$F35)</f>
        <v>35042735.698782086</v>
      </c>
      <c r="N46" s="213">
        <f>L46*$G35</f>
        <v>646724.8722879882</v>
      </c>
      <c r="O46" s="375">
        <f>D46+E46+G46+H46+J46+K46+M46+N46</f>
        <v>145114570.53568882</v>
      </c>
      <c r="P46" s="419" t="s">
        <v>274</v>
      </c>
      <c r="Q46" s="406" t="s">
        <v>330</v>
      </c>
      <c r="R46" s="346">
        <f>D46</f>
        <v>35676585.348279551</v>
      </c>
      <c r="S46" s="346">
        <f>G46</f>
        <v>36775120.174326219</v>
      </c>
      <c r="T46" s="346">
        <f>J46</f>
        <v>34990523.80625654</v>
      </c>
      <c r="U46" s="346">
        <f>M46</f>
        <v>35042735.698782086</v>
      </c>
      <c r="V46" s="419" t="s">
        <v>274</v>
      </c>
      <c r="W46" s="406" t="s">
        <v>330</v>
      </c>
      <c r="X46" s="358"/>
      <c r="Y46" s="359"/>
      <c r="Z46" s="369" t="e">
        <f>Y46/X46</f>
        <v>#DIV/0!</v>
      </c>
      <c r="AA46" s="358"/>
      <c r="AB46" s="359"/>
      <c r="AC46" s="357" t="e">
        <f>AB46/AA46</f>
        <v>#DIV/0!</v>
      </c>
      <c r="AD46" s="358"/>
      <c r="AE46" s="359"/>
      <c r="AF46" s="357" t="e">
        <f>AE46/AD46</f>
        <v>#DIV/0!</v>
      </c>
      <c r="AG46" s="358"/>
      <c r="AH46" s="359"/>
      <c r="AI46" s="357" t="e">
        <f>AH46/AG46</f>
        <v>#DIV/0!</v>
      </c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</row>
    <row r="47" spans="1:189" ht="15" customHeight="1" thickTop="1" thickBot="1" x14ac:dyDescent="0.3">
      <c r="A47" s="4">
        <v>47</v>
      </c>
      <c r="B47" s="124" t="s">
        <v>98</v>
      </c>
      <c r="C47" s="316">
        <f t="shared" ref="C47:O47" si="1">SUM(C43:C46)</f>
        <v>165421.83601719252</v>
      </c>
      <c r="D47" s="317">
        <f t="shared" si="1"/>
        <v>167649953.10316867</v>
      </c>
      <c r="E47" s="318">
        <f t="shared" si="1"/>
        <v>2976956.4035179405</v>
      </c>
      <c r="F47" s="316">
        <f t="shared" si="1"/>
        <v>169282.61933639034</v>
      </c>
      <c r="G47" s="317">
        <f t="shared" si="1"/>
        <v>170217343.09194511</v>
      </c>
      <c r="H47" s="318">
        <f t="shared" si="1"/>
        <v>3031375.1518604886</v>
      </c>
      <c r="I47" s="316">
        <f t="shared" si="1"/>
        <v>164814.42857850943</v>
      </c>
      <c r="J47" s="317">
        <f t="shared" si="1"/>
        <v>170204951.81411412</v>
      </c>
      <c r="K47" s="318">
        <f t="shared" si="1"/>
        <v>3034852.7798037422</v>
      </c>
      <c r="L47" s="316">
        <f t="shared" si="1"/>
        <v>167090.18313058832</v>
      </c>
      <c r="M47" s="317">
        <f t="shared" si="1"/>
        <v>173587959.7038855</v>
      </c>
      <c r="N47" s="318">
        <f t="shared" si="1"/>
        <v>3093414.240242932</v>
      </c>
      <c r="O47" s="376">
        <f t="shared" si="1"/>
        <v>693796806.28853869</v>
      </c>
      <c r="P47" s="336" t="s">
        <v>273</v>
      </c>
      <c r="Q47" s="336"/>
      <c r="R47" s="346">
        <f>E47</f>
        <v>2976956.4035179405</v>
      </c>
      <c r="S47" s="346">
        <f>H47</f>
        <v>3031375.1518604886</v>
      </c>
      <c r="T47" s="346">
        <f>K47</f>
        <v>3034852.7798037422</v>
      </c>
      <c r="U47" s="346">
        <f>N47</f>
        <v>3093414.240242932</v>
      </c>
      <c r="V47" s="336" t="s">
        <v>273</v>
      </c>
      <c r="W47" s="351" t="s">
        <v>24</v>
      </c>
      <c r="X47" s="370"/>
      <c r="Y47" s="371"/>
      <c r="Z47" s="372" t="e">
        <f>Y47/X47</f>
        <v>#DIV/0!</v>
      </c>
      <c r="AA47" s="370"/>
      <c r="AB47" s="371"/>
      <c r="AC47" s="372" t="e">
        <f>AB47/AA47</f>
        <v>#DIV/0!</v>
      </c>
      <c r="AD47" s="370"/>
      <c r="AE47" s="371"/>
      <c r="AF47" s="372" t="e">
        <f>AE47/AD47</f>
        <v>#DIV/0!</v>
      </c>
      <c r="AG47" s="370"/>
      <c r="AH47" s="371"/>
      <c r="AI47" s="372" t="e">
        <f>AH47/AG47</f>
        <v>#DIV/0!</v>
      </c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</row>
    <row r="48" spans="1:189" ht="12.5" x14ac:dyDescent="0.25">
      <c r="A48" s="4">
        <v>48</v>
      </c>
      <c r="P48" s="350"/>
      <c r="Q48" s="350"/>
      <c r="R48" s="350"/>
      <c r="S48" s="350"/>
      <c r="T48" s="350"/>
      <c r="U48" s="350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</row>
    <row r="49" spans="1:189" ht="13.5" thickBot="1" x14ac:dyDescent="0.3">
      <c r="A49" s="4">
        <v>49</v>
      </c>
      <c r="B49" s="274" t="s">
        <v>408</v>
      </c>
      <c r="C49" s="204"/>
      <c r="D49" s="106"/>
      <c r="E49" s="106"/>
      <c r="F49" s="106"/>
      <c r="G49" s="106"/>
      <c r="H49" s="106"/>
      <c r="I49" s="106"/>
      <c r="J49" s="106"/>
      <c r="K49" s="106"/>
      <c r="L49" s="106"/>
      <c r="M49" s="106"/>
      <c r="N49" s="106"/>
      <c r="O49" s="72"/>
      <c r="P49" s="72"/>
      <c r="Q49" s="72"/>
      <c r="R49" s="106"/>
      <c r="S49" s="106"/>
      <c r="T49" s="106"/>
      <c r="U49" s="106"/>
      <c r="V49" s="72"/>
      <c r="W49" s="72"/>
      <c r="X49" s="72"/>
      <c r="Y49" s="72"/>
      <c r="Z49" s="106"/>
      <c r="AA49" s="106"/>
      <c r="AB49" s="106"/>
      <c r="AC49" s="106"/>
      <c r="AD49" s="106"/>
      <c r="AE49" s="106"/>
      <c r="AF49" s="106"/>
      <c r="AG49" s="8"/>
      <c r="AH49" s="8"/>
      <c r="AI49" s="8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</row>
    <row r="50" spans="1:189" ht="13" thickBot="1" x14ac:dyDescent="0.3">
      <c r="A50" s="4">
        <v>50</v>
      </c>
      <c r="B50" s="107"/>
      <c r="C50" s="217" t="s">
        <v>17</v>
      </c>
      <c r="D50" s="129" t="s">
        <v>309</v>
      </c>
      <c r="E50" s="108"/>
      <c r="F50" s="108"/>
      <c r="G50" s="108"/>
      <c r="H50" s="109"/>
      <c r="I50" s="365" t="s">
        <v>176</v>
      </c>
      <c r="V50" s="31" t="str">
        <f>P60</f>
        <v>Projected Year 3</v>
      </c>
      <c r="X50" s="26"/>
      <c r="Y50" s="26"/>
      <c r="Z50" s="26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</row>
    <row r="51" spans="1:189" ht="13" thickBot="1" x14ac:dyDescent="0.3">
      <c r="A51" s="4">
        <v>51</v>
      </c>
      <c r="B51" s="110" t="s">
        <v>174</v>
      </c>
      <c r="C51" s="218" t="s">
        <v>184</v>
      </c>
      <c r="D51" s="130" t="s">
        <v>176</v>
      </c>
      <c r="E51" s="111" t="s">
        <v>176</v>
      </c>
      <c r="F51" s="111" t="s">
        <v>176</v>
      </c>
      <c r="G51" s="111" t="s">
        <v>176</v>
      </c>
      <c r="H51" s="112" t="s">
        <v>176</v>
      </c>
      <c r="I51" s="353" t="s">
        <v>281</v>
      </c>
      <c r="V51" s="341"/>
      <c r="W51" s="341"/>
      <c r="X51" s="347" t="s">
        <v>297</v>
      </c>
      <c r="Y51" s="348"/>
      <c r="Z51" s="349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</row>
    <row r="52" spans="1:189" ht="12.5" x14ac:dyDescent="0.25">
      <c r="A52" s="4">
        <v>52</v>
      </c>
      <c r="B52" s="110" t="s">
        <v>177</v>
      </c>
      <c r="C52" s="219" t="s">
        <v>140</v>
      </c>
      <c r="D52" s="131" t="s">
        <v>136</v>
      </c>
      <c r="E52" s="113" t="s">
        <v>81</v>
      </c>
      <c r="F52" s="113" t="s">
        <v>137</v>
      </c>
      <c r="G52" s="113" t="s">
        <v>82</v>
      </c>
      <c r="H52" s="114" t="s">
        <v>139</v>
      </c>
      <c r="I52" s="353" t="s">
        <v>87</v>
      </c>
      <c r="V52" s="342"/>
      <c r="W52" s="342"/>
      <c r="X52" s="149" t="s">
        <v>296</v>
      </c>
      <c r="Y52" s="366"/>
      <c r="Z52" s="366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</row>
    <row r="53" spans="1:189" ht="13" thickBot="1" x14ac:dyDescent="0.3">
      <c r="A53" s="4">
        <v>53</v>
      </c>
      <c r="B53" s="116" t="s">
        <v>74</v>
      </c>
      <c r="C53" s="220" t="s">
        <v>19</v>
      </c>
      <c r="D53" s="132" t="s">
        <v>148</v>
      </c>
      <c r="E53" s="117" t="s">
        <v>148</v>
      </c>
      <c r="F53" s="117" t="s">
        <v>148</v>
      </c>
      <c r="G53" s="117" t="s">
        <v>148</v>
      </c>
      <c r="H53" s="118" t="s">
        <v>91</v>
      </c>
      <c r="I53" s="354" t="s">
        <v>299</v>
      </c>
      <c r="V53" s="344" t="s">
        <v>275</v>
      </c>
      <c r="W53" s="344" t="s">
        <v>14</v>
      </c>
      <c r="X53" s="352" t="s">
        <v>300</v>
      </c>
      <c r="Y53" s="41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</row>
    <row r="54" spans="1:189" ht="13" thickBot="1" x14ac:dyDescent="0.3">
      <c r="A54" s="4">
        <v>54</v>
      </c>
      <c r="B54" s="405" t="s">
        <v>519</v>
      </c>
      <c r="C54" s="221">
        <f>'D1. Member Months'!G32</f>
        <v>36545.570431324217</v>
      </c>
      <c r="D54" s="214">
        <f>'D5. Waiver Cost Projection'!O43</f>
        <v>570.31801154002187</v>
      </c>
      <c r="E54" s="49">
        <f>'D5. Waiver Cost Projection'!S43</f>
        <v>0</v>
      </c>
      <c r="F54" s="49">
        <f>'D5. Waiver Cost Projection'!W43</f>
        <v>0</v>
      </c>
      <c r="G54" s="49">
        <f>'D5. Waiver Cost Projection'!AA43</f>
        <v>8.9698695131028607</v>
      </c>
      <c r="H54" s="161">
        <f>'D5. Waiver Cost Projection'!AB43</f>
        <v>579.28788105312469</v>
      </c>
      <c r="I54" s="364">
        <f>H54-G54</f>
        <v>570.31801154002187</v>
      </c>
      <c r="V54" s="343"/>
      <c r="W54" s="343"/>
      <c r="X54" s="354" t="s">
        <v>298</v>
      </c>
      <c r="Y54" s="41"/>
      <c r="AH54" s="207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</row>
    <row r="55" spans="1:189" ht="13" thickBot="1" x14ac:dyDescent="0.3">
      <c r="A55" s="4">
        <v>55</v>
      </c>
      <c r="B55" s="405" t="s">
        <v>520</v>
      </c>
      <c r="C55" s="221">
        <f>'D1. Member Months'!G33</f>
        <v>171157.51782715664</v>
      </c>
      <c r="D55" s="214">
        <f>'D5. Waiver Cost Projection'!O44</f>
        <v>1607.7749827078273</v>
      </c>
      <c r="E55" s="49">
        <f>'D5. Waiver Cost Projection'!S44</f>
        <v>0</v>
      </c>
      <c r="F55" s="49">
        <f>'D5. Waiver Cost Projection'!W44</f>
        <v>0</v>
      </c>
      <c r="G55" s="49">
        <f>'D5. Waiver Cost Projection'!AA44</f>
        <v>40.297470562004783</v>
      </c>
      <c r="H55" s="161">
        <f>'D5. Waiver Cost Projection'!AB44</f>
        <v>1648.0724532698321</v>
      </c>
      <c r="I55" s="157">
        <f>H55-G55</f>
        <v>1607.7749827078273</v>
      </c>
      <c r="V55" s="419" t="s">
        <v>271</v>
      </c>
      <c r="W55" s="405" t="s">
        <v>327</v>
      </c>
      <c r="X55" s="385">
        <f>I54</f>
        <v>570.31801154002187</v>
      </c>
      <c r="Y55" s="367"/>
      <c r="AH55" s="207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</row>
    <row r="56" spans="1:189" ht="11" thickBot="1" x14ac:dyDescent="0.25">
      <c r="A56" s="4">
        <v>56</v>
      </c>
      <c r="B56" s="405" t="s">
        <v>521</v>
      </c>
      <c r="C56" s="221">
        <f>'D1. Member Months'!G34</f>
        <v>79048.092625238933</v>
      </c>
      <c r="D56" s="214">
        <f>'D5. Waiver Cost Projection'!O45</f>
        <v>3951.7436152325367</v>
      </c>
      <c r="E56" s="49">
        <f>'D5. Waiver Cost Projection'!S45</f>
        <v>0</v>
      </c>
      <c r="F56" s="49">
        <f>'D5. Waiver Cost Projection'!W45</f>
        <v>0</v>
      </c>
      <c r="G56" s="49">
        <f>'D5. Waiver Cost Projection'!AA45</f>
        <v>40.096388989501257</v>
      </c>
      <c r="H56" s="161">
        <f>'D5. Waiver Cost Projection'!AB45</f>
        <v>3991.8400042220378</v>
      </c>
      <c r="I56" s="157">
        <f>H56-G56</f>
        <v>3951.7436152325367</v>
      </c>
      <c r="V56" s="419" t="s">
        <v>271</v>
      </c>
      <c r="W56" s="405" t="s">
        <v>328</v>
      </c>
      <c r="X56" s="385">
        <f>I55</f>
        <v>1607.7749827078273</v>
      </c>
      <c r="AH56" s="207"/>
    </row>
    <row r="57" spans="1:189" ht="11" thickBot="1" x14ac:dyDescent="0.25">
      <c r="A57" s="4">
        <v>57</v>
      </c>
      <c r="B57" s="405" t="s">
        <v>546</v>
      </c>
      <c r="C57" s="221">
        <f>'D1. Member Months'!G35</f>
        <v>415482.51567036833</v>
      </c>
      <c r="D57" s="214">
        <f>'D5. Waiver Cost Projection'!O46</f>
        <v>359.65744568689513</v>
      </c>
      <c r="E57" s="49">
        <f>'D5. Waiver Cost Projection'!S46</f>
        <v>0</v>
      </c>
      <c r="F57" s="49">
        <f>'D5. Waiver Cost Projection'!W46</f>
        <v>0</v>
      </c>
      <c r="G57" s="49">
        <f>'D5. Waiver Cost Projection'!AA46</f>
        <v>6.7382926499856479</v>
      </c>
      <c r="H57" s="161">
        <f>'D5. Waiver Cost Projection'!AB46</f>
        <v>366.39573833688075</v>
      </c>
      <c r="I57" s="157">
        <f>H57-G57</f>
        <v>359.65744568689513</v>
      </c>
      <c r="V57" s="419" t="s">
        <v>274</v>
      </c>
      <c r="W57" s="405" t="s">
        <v>329</v>
      </c>
      <c r="X57" s="385">
        <f>I56</f>
        <v>3951.7436152325367</v>
      </c>
      <c r="AH57" s="207"/>
    </row>
    <row r="58" spans="1:189" ht="11.5" thickTop="1" thickBot="1" x14ac:dyDescent="0.3">
      <c r="A58" s="4">
        <v>58</v>
      </c>
      <c r="B58" s="123" t="s">
        <v>98</v>
      </c>
      <c r="C58" s="223">
        <f>SUM(C54:C57)</f>
        <v>702233.69655408815</v>
      </c>
      <c r="D58" s="216"/>
      <c r="E58" s="208"/>
      <c r="F58" s="208"/>
      <c r="G58" s="208"/>
      <c r="H58" s="209"/>
      <c r="I58" s="209"/>
      <c r="V58" s="419" t="s">
        <v>274</v>
      </c>
      <c r="W58" s="406" t="s">
        <v>330</v>
      </c>
      <c r="X58" s="385">
        <f>I57</f>
        <v>359.65744568689513</v>
      </c>
      <c r="AH58" s="207"/>
    </row>
    <row r="59" spans="1:189" ht="11" thickBot="1" x14ac:dyDescent="0.25">
      <c r="A59" s="4">
        <v>59</v>
      </c>
      <c r="B59" s="275" t="s">
        <v>483</v>
      </c>
      <c r="C59" s="224"/>
      <c r="D59" s="205">
        <f>SUMPRODUCT(D54:D57,$C$54:$C$57)/$C$58</f>
        <v>1079.1771338861656</v>
      </c>
      <c r="E59" s="205">
        <f>SUMPRODUCT(E54:E57,$C$54:$C$57)/$C$58</f>
        <v>0</v>
      </c>
      <c r="F59" s="205">
        <f>SUMPRODUCT(F54:F57,$C$54:$C$57)/$C$58</f>
        <v>0</v>
      </c>
      <c r="G59" s="362">
        <f>SUMPRODUCT(G54:G57,$C$54:$C$57)/$C$58</f>
        <v>18.788915928159508</v>
      </c>
      <c r="H59" s="205">
        <f>SUMPRODUCT(H54:H57,$C$54:$C$57)/$C$58</f>
        <v>1097.9660498143251</v>
      </c>
      <c r="I59" s="206"/>
      <c r="J59" s="125"/>
      <c r="K59" s="126"/>
      <c r="L59" s="126"/>
      <c r="M59" s="126"/>
      <c r="N59" s="126"/>
      <c r="O59" s="127"/>
      <c r="P59" s="127"/>
      <c r="Q59" s="127"/>
      <c r="R59" s="126"/>
      <c r="S59" s="126"/>
      <c r="T59" s="126"/>
      <c r="U59" s="126"/>
      <c r="V59" s="336" t="s">
        <v>273</v>
      </c>
      <c r="W59" s="351" t="s">
        <v>24</v>
      </c>
      <c r="X59" s="386">
        <f>G59</f>
        <v>18.788915928159508</v>
      </c>
      <c r="Y59" s="127"/>
      <c r="Z59" s="127"/>
      <c r="AA59" s="126"/>
      <c r="AB59" s="126"/>
      <c r="AC59" s="126"/>
      <c r="AD59" s="126"/>
      <c r="AE59" s="126"/>
      <c r="AF59" s="126"/>
      <c r="AH59" s="207"/>
    </row>
    <row r="60" spans="1:189" ht="13" thickBot="1" x14ac:dyDescent="0.3">
      <c r="A60" s="4">
        <v>60</v>
      </c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22" t="s">
        <v>408</v>
      </c>
      <c r="Q60" s="486">
        <f>'D1. Member Months'!D7</f>
        <v>45078</v>
      </c>
      <c r="R60" s="486" t="s">
        <v>388</v>
      </c>
      <c r="S60" s="486">
        <f>'D1. Member Months'!F7</f>
        <v>45443</v>
      </c>
      <c r="T60" s="8"/>
      <c r="U60" s="377"/>
      <c r="V60" s="31" t="str">
        <f>P60</f>
        <v>Projected Year 3</v>
      </c>
      <c r="X60" s="368" t="s">
        <v>293</v>
      </c>
      <c r="Y60" s="360"/>
      <c r="Z60" s="361"/>
      <c r="AA60" s="368" t="s">
        <v>293</v>
      </c>
      <c r="AB60" s="360"/>
      <c r="AC60" s="361"/>
      <c r="AD60" s="368" t="s">
        <v>293</v>
      </c>
      <c r="AE60" s="360"/>
      <c r="AF60" s="361"/>
      <c r="AG60" s="368" t="s">
        <v>293</v>
      </c>
      <c r="AH60" s="360"/>
      <c r="AI60" s="361"/>
    </row>
    <row r="61" spans="1:189" ht="10.5" x14ac:dyDescent="0.2">
      <c r="A61" s="4">
        <v>61</v>
      </c>
      <c r="B61" s="149"/>
      <c r="C61" s="320" t="s">
        <v>469</v>
      </c>
      <c r="D61" s="108"/>
      <c r="E61" s="109"/>
      <c r="F61" s="320" t="s">
        <v>470</v>
      </c>
      <c r="G61" s="108"/>
      <c r="H61" s="109"/>
      <c r="I61" s="320" t="s">
        <v>471</v>
      </c>
      <c r="J61" s="108"/>
      <c r="K61" s="109"/>
      <c r="L61" s="320" t="s">
        <v>472</v>
      </c>
      <c r="M61" s="108"/>
      <c r="N61" s="109"/>
      <c r="O61" s="373"/>
      <c r="P61" s="341"/>
      <c r="Q61" s="341"/>
      <c r="R61" s="337"/>
      <c r="S61" s="337"/>
      <c r="T61" s="337"/>
      <c r="U61" s="337"/>
      <c r="V61" s="341"/>
      <c r="W61" s="341"/>
      <c r="X61" s="320" t="s">
        <v>484</v>
      </c>
      <c r="Y61" s="108"/>
      <c r="Z61" s="109"/>
      <c r="AA61" s="320" t="s">
        <v>485</v>
      </c>
      <c r="AB61" s="108"/>
      <c r="AC61" s="109"/>
      <c r="AD61" s="320" t="s">
        <v>486</v>
      </c>
      <c r="AE61" s="108"/>
      <c r="AF61" s="109"/>
      <c r="AG61" s="320" t="s">
        <v>487</v>
      </c>
      <c r="AH61" s="108"/>
      <c r="AI61" s="109"/>
    </row>
    <row r="62" spans="1:189" ht="10.5" x14ac:dyDescent="0.2">
      <c r="A62" s="4">
        <v>62</v>
      </c>
      <c r="B62" s="150" t="s">
        <v>174</v>
      </c>
      <c r="C62" s="202" t="s">
        <v>140</v>
      </c>
      <c r="D62" s="115" t="s">
        <v>272</v>
      </c>
      <c r="E62" s="319" t="s">
        <v>270</v>
      </c>
      <c r="F62" s="110" t="s">
        <v>140</v>
      </c>
      <c r="G62" s="115" t="s">
        <v>272</v>
      </c>
      <c r="H62" s="319" t="s">
        <v>270</v>
      </c>
      <c r="I62" s="110" t="s">
        <v>140</v>
      </c>
      <c r="J62" s="115" t="s">
        <v>272</v>
      </c>
      <c r="K62" s="319" t="s">
        <v>270</v>
      </c>
      <c r="L62" s="110" t="s">
        <v>140</v>
      </c>
      <c r="M62" s="115" t="s">
        <v>272</v>
      </c>
      <c r="N62" s="319" t="s">
        <v>270</v>
      </c>
      <c r="O62" s="353"/>
      <c r="P62" s="342"/>
      <c r="Q62" s="342"/>
      <c r="R62" s="338"/>
      <c r="S62" s="338"/>
      <c r="T62" s="339"/>
      <c r="U62" s="340"/>
      <c r="V62" s="342"/>
      <c r="W62" s="342"/>
      <c r="X62" s="202" t="s">
        <v>140</v>
      </c>
      <c r="Y62" s="113" t="s">
        <v>284</v>
      </c>
      <c r="Z62" s="319" t="s">
        <v>284</v>
      </c>
      <c r="AA62" s="202" t="s">
        <v>140</v>
      </c>
      <c r="AB62" s="113" t="s">
        <v>284</v>
      </c>
      <c r="AC62" s="319" t="s">
        <v>284</v>
      </c>
      <c r="AD62" s="202" t="s">
        <v>140</v>
      </c>
      <c r="AE62" s="113" t="s">
        <v>284</v>
      </c>
      <c r="AF62" s="319" t="s">
        <v>284</v>
      </c>
      <c r="AG62" s="202" t="s">
        <v>140</v>
      </c>
      <c r="AH62" s="113" t="s">
        <v>284</v>
      </c>
      <c r="AI62" s="319" t="s">
        <v>284</v>
      </c>
    </row>
    <row r="63" spans="1:189" ht="10.5" x14ac:dyDescent="0.25">
      <c r="A63" s="4">
        <v>63</v>
      </c>
      <c r="B63" s="150" t="s">
        <v>177</v>
      </c>
      <c r="C63" s="202" t="s">
        <v>178</v>
      </c>
      <c r="D63" s="115" t="s">
        <v>87</v>
      </c>
      <c r="E63" s="114" t="s">
        <v>82</v>
      </c>
      <c r="F63" s="110" t="s">
        <v>178</v>
      </c>
      <c r="G63" s="115" t="s">
        <v>87</v>
      </c>
      <c r="H63" s="114" t="s">
        <v>82</v>
      </c>
      <c r="I63" s="110" t="s">
        <v>178</v>
      </c>
      <c r="J63" s="115" t="s">
        <v>87</v>
      </c>
      <c r="K63" s="114" t="s">
        <v>82</v>
      </c>
      <c r="L63" s="110" t="s">
        <v>178</v>
      </c>
      <c r="M63" s="115" t="s">
        <v>87</v>
      </c>
      <c r="N63" s="114" t="s">
        <v>82</v>
      </c>
      <c r="O63" s="353" t="s">
        <v>209</v>
      </c>
      <c r="P63" s="344" t="s">
        <v>275</v>
      </c>
      <c r="Q63" s="344" t="s">
        <v>14</v>
      </c>
      <c r="R63" s="345" t="s">
        <v>469</v>
      </c>
      <c r="S63" s="345" t="s">
        <v>470</v>
      </c>
      <c r="T63" s="345" t="s">
        <v>471</v>
      </c>
      <c r="U63" s="345" t="s">
        <v>472</v>
      </c>
      <c r="V63" s="344" t="s">
        <v>275</v>
      </c>
      <c r="W63" s="344" t="s">
        <v>14</v>
      </c>
      <c r="X63" s="202" t="s">
        <v>279</v>
      </c>
      <c r="Y63" s="115" t="s">
        <v>282</v>
      </c>
      <c r="Z63" s="114" t="s">
        <v>283</v>
      </c>
      <c r="AA63" s="202" t="s">
        <v>279</v>
      </c>
      <c r="AB63" s="115" t="s">
        <v>282</v>
      </c>
      <c r="AC63" s="114" t="s">
        <v>283</v>
      </c>
      <c r="AD63" s="202" t="s">
        <v>279</v>
      </c>
      <c r="AE63" s="115" t="s">
        <v>282</v>
      </c>
      <c r="AF63" s="114" t="s">
        <v>283</v>
      </c>
      <c r="AG63" s="202" t="s">
        <v>279</v>
      </c>
      <c r="AH63" s="115" t="s">
        <v>282</v>
      </c>
      <c r="AI63" s="114" t="s">
        <v>283</v>
      </c>
    </row>
    <row r="64" spans="1:189" ht="11" thickBot="1" x14ac:dyDescent="0.25">
      <c r="A64" s="4">
        <v>64</v>
      </c>
      <c r="B64" s="151" t="s">
        <v>74</v>
      </c>
      <c r="C64" s="116"/>
      <c r="D64" s="321" t="s">
        <v>179</v>
      </c>
      <c r="E64" s="118" t="s">
        <v>86</v>
      </c>
      <c r="F64" s="116"/>
      <c r="G64" s="321" t="s">
        <v>179</v>
      </c>
      <c r="H64" s="118" t="s">
        <v>86</v>
      </c>
      <c r="I64" s="116"/>
      <c r="J64" s="321" t="s">
        <v>179</v>
      </c>
      <c r="K64" s="118" t="s">
        <v>86</v>
      </c>
      <c r="L64" s="116"/>
      <c r="M64" s="321" t="s">
        <v>179</v>
      </c>
      <c r="N64" s="118" t="s">
        <v>86</v>
      </c>
      <c r="O64" s="354" t="s">
        <v>91</v>
      </c>
      <c r="P64" s="343"/>
      <c r="Q64" s="343"/>
      <c r="R64" s="484">
        <f>'D1. Member Months'!D31-1</f>
        <v>45169</v>
      </c>
      <c r="S64" s="484">
        <f>'D1. Member Months'!E31-1</f>
        <v>45260</v>
      </c>
      <c r="T64" s="484">
        <f>'D1. Member Months'!F31-1</f>
        <v>45351</v>
      </c>
      <c r="U64" s="485">
        <f>'D1. Member Months'!F7</f>
        <v>45443</v>
      </c>
      <c r="V64" s="343"/>
      <c r="W64" s="343"/>
      <c r="X64" s="116">
        <f>R64</f>
        <v>45169</v>
      </c>
      <c r="Y64" s="321" t="s">
        <v>280</v>
      </c>
      <c r="Z64" s="118"/>
      <c r="AA64" s="116">
        <f>S64</f>
        <v>45260</v>
      </c>
      <c r="AB64" s="321" t="s">
        <v>280</v>
      </c>
      <c r="AC64" s="118"/>
      <c r="AD64" s="116">
        <f>T64</f>
        <v>45351</v>
      </c>
      <c r="AE64" s="321" t="s">
        <v>280</v>
      </c>
      <c r="AF64" s="118"/>
      <c r="AG64" s="116">
        <f>U64</f>
        <v>45443</v>
      </c>
      <c r="AH64" s="321" t="s">
        <v>280</v>
      </c>
      <c r="AI64" s="118"/>
    </row>
    <row r="65" spans="1:35" ht="11" thickBot="1" x14ac:dyDescent="0.25">
      <c r="A65" s="4">
        <v>65</v>
      </c>
      <c r="B65" s="405" t="s">
        <v>519</v>
      </c>
      <c r="C65" s="210">
        <f>'D1. Member Months'!C32</f>
        <v>9255.6266560625081</v>
      </c>
      <c r="D65" s="298">
        <f>C65*($D54+$E54+$F54)</f>
        <v>5278650.5900423918</v>
      </c>
      <c r="E65" s="211">
        <f>C65*$G54</f>
        <v>83021.763366877276</v>
      </c>
      <c r="F65" s="210">
        <f>'D1. Member Months'!D32</f>
        <v>9159.0080148129819</v>
      </c>
      <c r="G65" s="298">
        <f>F65*($D54+$E54+$F54)</f>
        <v>5223547.2386872629</v>
      </c>
      <c r="H65" s="211">
        <f>F65*$G54</f>
        <v>82155.106762335723</v>
      </c>
      <c r="I65" s="210">
        <f>'D1. Member Months'!E32</f>
        <v>8621.0178533099424</v>
      </c>
      <c r="J65" s="298">
        <f>I65*($D54+$E54+$F54)</f>
        <v>4916721.759550754</v>
      </c>
      <c r="K65" s="211">
        <f>I65*$G54</f>
        <v>77329.40521432033</v>
      </c>
      <c r="L65" s="210">
        <f>'D1. Member Months'!F32</f>
        <v>9509.917907138788</v>
      </c>
      <c r="M65" s="298">
        <f>L65*($D54+$E54+$F54)</f>
        <v>5423677.4707082398</v>
      </c>
      <c r="N65" s="211">
        <f>L65*$G54</f>
        <v>85302.722707355177</v>
      </c>
      <c r="O65" s="374">
        <f>D65+E65+G65+H65+J65+K65+M65+N65</f>
        <v>21170406.057039537</v>
      </c>
      <c r="P65" s="419" t="s">
        <v>271</v>
      </c>
      <c r="Q65" s="405" t="s">
        <v>327</v>
      </c>
      <c r="R65" s="346">
        <f>D65</f>
        <v>5278650.5900423918</v>
      </c>
      <c r="S65" s="346">
        <f>G65</f>
        <v>5223547.2386872629</v>
      </c>
      <c r="T65" s="346">
        <f>J65</f>
        <v>4916721.759550754</v>
      </c>
      <c r="U65" s="346">
        <f>M65</f>
        <v>5423677.4707082398</v>
      </c>
      <c r="V65" s="419" t="s">
        <v>271</v>
      </c>
      <c r="W65" s="405" t="s">
        <v>327</v>
      </c>
      <c r="X65" s="355"/>
      <c r="Y65" s="356"/>
      <c r="Z65" s="357" t="e">
        <f>Y65/X65</f>
        <v>#DIV/0!</v>
      </c>
      <c r="AA65" s="355"/>
      <c r="AB65" s="356"/>
      <c r="AC65" s="357" t="e">
        <f>AB65/AA65</f>
        <v>#DIV/0!</v>
      </c>
      <c r="AD65" s="355"/>
      <c r="AE65" s="356"/>
      <c r="AF65" s="357" t="e">
        <f>AE65/AD65</f>
        <v>#DIV/0!</v>
      </c>
      <c r="AG65" s="355"/>
      <c r="AH65" s="356"/>
      <c r="AI65" s="357" t="e">
        <f>AH65/AG65</f>
        <v>#DIV/0!</v>
      </c>
    </row>
    <row r="66" spans="1:35" ht="11" thickBot="1" x14ac:dyDescent="0.25">
      <c r="A66" s="4">
        <v>66</v>
      </c>
      <c r="B66" s="405" t="s">
        <v>520</v>
      </c>
      <c r="C66" s="210">
        <f>'D1. Member Months'!C33</f>
        <v>41458.428213550556</v>
      </c>
      <c r="D66" s="298">
        <f>C66*($D55+$E55+$F55)</f>
        <v>66655823.704134949</v>
      </c>
      <c r="E66" s="211">
        <f>C66*$G55</f>
        <v>1670669.790482542</v>
      </c>
      <c r="F66" s="210">
        <f>'D1. Member Months'!D33</f>
        <v>42333.354639304045</v>
      </c>
      <c r="G66" s="298">
        <f>F66*($D55+$E55+$F55)</f>
        <v>68062508.52317138</v>
      </c>
      <c r="H66" s="211">
        <f>F66*$G55</f>
        <v>1705927.1123682633</v>
      </c>
      <c r="I66" s="210">
        <f>'D1. Member Months'!E33</f>
        <v>43226.745253968402</v>
      </c>
      <c r="J66" s="298">
        <f>I66*($D55+$E55+$F55)</f>
        <v>69498879.603214711</v>
      </c>
      <c r="K66" s="211">
        <f>I66*$G55</f>
        <v>1741928.4943630716</v>
      </c>
      <c r="L66" s="210">
        <f>'D1. Member Months'!F33</f>
        <v>44138.989720333644</v>
      </c>
      <c r="M66" s="298">
        <f>L66*($D55+$E55+$F55)</f>
        <v>70965563.434350386</v>
      </c>
      <c r="N66" s="211">
        <f>L66*$G55</f>
        <v>1778689.6388917768</v>
      </c>
      <c r="O66" s="374">
        <f>D66+E66+G66+H66+J66+K66+M66+N66</f>
        <v>282079990.30097705</v>
      </c>
      <c r="P66" s="419" t="s">
        <v>271</v>
      </c>
      <c r="Q66" s="405" t="s">
        <v>328</v>
      </c>
      <c r="R66" s="346">
        <f>D66</f>
        <v>66655823.704134949</v>
      </c>
      <c r="S66" s="346">
        <f>G66</f>
        <v>68062508.52317138</v>
      </c>
      <c r="T66" s="346">
        <f>J66</f>
        <v>69498879.603214711</v>
      </c>
      <c r="U66" s="346">
        <f>M66</f>
        <v>70965563.434350386</v>
      </c>
      <c r="V66" s="419" t="s">
        <v>271</v>
      </c>
      <c r="W66" s="405" t="s">
        <v>328</v>
      </c>
      <c r="X66" s="355"/>
      <c r="Y66" s="356"/>
      <c r="Z66" s="357" t="e">
        <f>Y66/X66</f>
        <v>#DIV/0!</v>
      </c>
      <c r="AA66" s="355"/>
      <c r="AB66" s="356"/>
      <c r="AC66" s="357" t="e">
        <f>AB66/AA66</f>
        <v>#DIV/0!</v>
      </c>
      <c r="AD66" s="355"/>
      <c r="AE66" s="356"/>
      <c r="AF66" s="357" t="e">
        <f>AE66/AD66</f>
        <v>#DIV/0!</v>
      </c>
      <c r="AG66" s="355"/>
      <c r="AH66" s="356"/>
      <c r="AI66" s="357" t="e">
        <f>AH66/AG66</f>
        <v>#DIV/0!</v>
      </c>
    </row>
    <row r="67" spans="1:35" ht="11" thickBot="1" x14ac:dyDescent="0.25">
      <c r="A67" s="4">
        <v>67</v>
      </c>
      <c r="B67" s="405" t="s">
        <v>521</v>
      </c>
      <c r="C67" s="210">
        <f>'D1. Member Months'!C34</f>
        <v>19473.430674257128</v>
      </c>
      <c r="D67" s="298">
        <f>C67*($D56+$E56+$F56)</f>
        <v>76954005.333669037</v>
      </c>
      <c r="E67" s="211">
        <f>C67*$G56</f>
        <v>780814.25127509958</v>
      </c>
      <c r="F67" s="210">
        <f>'D1. Member Months'!D34</f>
        <v>19557.721377924365</v>
      </c>
      <c r="G67" s="298">
        <f>F67*($D56+$E56+$F56)</f>
        <v>77287100.583709493</v>
      </c>
      <c r="H67" s="211">
        <f>F67*$G56</f>
        <v>784194.00411753985</v>
      </c>
      <c r="I67" s="210">
        <f>'D1. Member Months'!E34</f>
        <v>19784.395026975435</v>
      </c>
      <c r="J67" s="298">
        <f>I67*($D56+$E56+$F56)</f>
        <v>78182856.72908853</v>
      </c>
      <c r="K67" s="211">
        <f>I67*$G56</f>
        <v>793282.79892356123</v>
      </c>
      <c r="L67" s="210">
        <f>'D1. Member Months'!F34</f>
        <v>20232.545546082005</v>
      </c>
      <c r="M67" s="298">
        <f>L67*($D56+$E56+$F56)</f>
        <v>79953832.681631058</v>
      </c>
      <c r="N67" s="211">
        <f>L67*$G56</f>
        <v>811252.01646350522</v>
      </c>
      <c r="O67" s="374">
        <f>D67+E67+G67+H67+J67+K67+M67+N67</f>
        <v>315547338.39887786</v>
      </c>
      <c r="P67" s="419" t="s">
        <v>274</v>
      </c>
      <c r="Q67" s="405" t="s">
        <v>329</v>
      </c>
      <c r="R67" s="346">
        <f>D67</f>
        <v>76954005.333669037</v>
      </c>
      <c r="S67" s="346">
        <f>G67</f>
        <v>77287100.583709493</v>
      </c>
      <c r="T67" s="346">
        <f>J67</f>
        <v>78182856.72908853</v>
      </c>
      <c r="U67" s="346">
        <f>M67</f>
        <v>79953832.681631058</v>
      </c>
      <c r="V67" s="419" t="s">
        <v>274</v>
      </c>
      <c r="W67" s="405" t="s">
        <v>329</v>
      </c>
      <c r="X67" s="355"/>
      <c r="Y67" s="356"/>
      <c r="Z67" s="357" t="e">
        <f>Y67/X67</f>
        <v>#DIV/0!</v>
      </c>
      <c r="AA67" s="355"/>
      <c r="AB67" s="356"/>
      <c r="AC67" s="357" t="e">
        <f>AB67/AA67</f>
        <v>#DIV/0!</v>
      </c>
      <c r="AD67" s="355"/>
      <c r="AE67" s="356"/>
      <c r="AF67" s="357" t="e">
        <f>AE67/AD67</f>
        <v>#DIV/0!</v>
      </c>
      <c r="AG67" s="355"/>
      <c r="AH67" s="356"/>
      <c r="AI67" s="357" t="e">
        <f>AH67/AG67</f>
        <v>#DIV/0!</v>
      </c>
    </row>
    <row r="68" spans="1:35" ht="11" thickBot="1" x14ac:dyDescent="0.25">
      <c r="A68" s="4">
        <v>68</v>
      </c>
      <c r="B68" s="405" t="s">
        <v>546</v>
      </c>
      <c r="C68" s="210">
        <f>'D1. Member Months'!C35</f>
        <v>103938.02231131477</v>
      </c>
      <c r="D68" s="299">
        <f>C68*($D57+$E57+$F57)</f>
        <v>37382083.614234984</v>
      </c>
      <c r="E68" s="213">
        <f>C68*$G57</f>
        <v>700364.81179437658</v>
      </c>
      <c r="F68" s="210">
        <f>'D1. Member Months'!D35</f>
        <v>107094.98260640865</v>
      </c>
      <c r="G68" s="299">
        <f>F68*($D57+$E57+$F57)</f>
        <v>38517507.8901034</v>
      </c>
      <c r="H68" s="213">
        <f>F68*$G57</f>
        <v>721637.33414710418</v>
      </c>
      <c r="I68" s="210">
        <f>'D1. Member Months'!E35</f>
        <v>102095.88343248454</v>
      </c>
      <c r="J68" s="299">
        <f>I68*($D57+$E57+$F57)</f>
        <v>36719544.650474384</v>
      </c>
      <c r="K68" s="213">
        <f>I68*$G57</f>
        <v>687951.940926902</v>
      </c>
      <c r="L68" s="210">
        <f>'D1. Member Months'!F35</f>
        <v>102353.62732016042</v>
      </c>
      <c r="M68" s="299">
        <f>L68*($D57+$E57+$F57)</f>
        <v>36812244.158757299</v>
      </c>
      <c r="N68" s="213">
        <f>L68*$G57</f>
        <v>689688.69467080722</v>
      </c>
      <c r="O68" s="375">
        <f>D68+E68+G68+H68+J68+K68+M68+N68</f>
        <v>152231023.09510925</v>
      </c>
      <c r="P68" s="419" t="s">
        <v>274</v>
      </c>
      <c r="Q68" s="406" t="s">
        <v>330</v>
      </c>
      <c r="R68" s="346">
        <f>D68</f>
        <v>37382083.614234984</v>
      </c>
      <c r="S68" s="346">
        <f>G68</f>
        <v>38517507.8901034</v>
      </c>
      <c r="T68" s="346">
        <f>J68</f>
        <v>36719544.650474384</v>
      </c>
      <c r="U68" s="346">
        <f>M68</f>
        <v>36812244.158757299</v>
      </c>
      <c r="V68" s="419" t="s">
        <v>274</v>
      </c>
      <c r="W68" s="406" t="s">
        <v>330</v>
      </c>
      <c r="X68" s="358"/>
      <c r="Y68" s="359"/>
      <c r="Z68" s="369" t="e">
        <f>Y68/X68</f>
        <v>#DIV/0!</v>
      </c>
      <c r="AA68" s="358"/>
      <c r="AB68" s="359"/>
      <c r="AC68" s="357" t="e">
        <f>AB68/AA68</f>
        <v>#DIV/0!</v>
      </c>
      <c r="AD68" s="358"/>
      <c r="AE68" s="359"/>
      <c r="AF68" s="357" t="e">
        <f>AE68/AD68</f>
        <v>#DIV/0!</v>
      </c>
      <c r="AG68" s="358"/>
      <c r="AH68" s="359"/>
      <c r="AI68" s="357" t="e">
        <f>AH68/AG68</f>
        <v>#DIV/0!</v>
      </c>
    </row>
    <row r="69" spans="1:35" ht="11.5" thickTop="1" thickBot="1" x14ac:dyDescent="0.25">
      <c r="A69" s="4">
        <v>69</v>
      </c>
      <c r="B69" s="124" t="s">
        <v>98</v>
      </c>
      <c r="C69" s="316">
        <f t="shared" ref="C69:O69" si="2">SUM(C65:C68)</f>
        <v>174125.50785518496</v>
      </c>
      <c r="D69" s="317">
        <f t="shared" si="2"/>
        <v>186270563.24208134</v>
      </c>
      <c r="E69" s="318">
        <f t="shared" si="2"/>
        <v>3234870.6169188954</v>
      </c>
      <c r="F69" s="316">
        <f t="shared" si="2"/>
        <v>178145.06663845002</v>
      </c>
      <c r="G69" s="317">
        <f t="shared" si="2"/>
        <v>189090664.23567152</v>
      </c>
      <c r="H69" s="318">
        <f t="shared" si="2"/>
        <v>3293913.5573952431</v>
      </c>
      <c r="I69" s="316">
        <f t="shared" si="2"/>
        <v>173728.04156673833</v>
      </c>
      <c r="J69" s="317">
        <f t="shared" si="2"/>
        <v>189318002.74232835</v>
      </c>
      <c r="K69" s="318">
        <f t="shared" si="2"/>
        <v>3300492.6394278551</v>
      </c>
      <c r="L69" s="316">
        <f t="shared" si="2"/>
        <v>176235.08049371486</v>
      </c>
      <c r="M69" s="317">
        <f t="shared" si="2"/>
        <v>193155317.74544698</v>
      </c>
      <c r="N69" s="318">
        <f t="shared" si="2"/>
        <v>3364933.0727334442</v>
      </c>
      <c r="O69" s="376">
        <f t="shared" si="2"/>
        <v>771028757.85200369</v>
      </c>
      <c r="P69" s="336" t="s">
        <v>273</v>
      </c>
      <c r="Q69" s="336"/>
      <c r="R69" s="346">
        <f>E69</f>
        <v>3234870.6169188954</v>
      </c>
      <c r="S69" s="346">
        <f>H69</f>
        <v>3293913.5573952431</v>
      </c>
      <c r="T69" s="346">
        <f>K69</f>
        <v>3300492.6394278551</v>
      </c>
      <c r="U69" s="346">
        <f>N69</f>
        <v>3364933.0727334442</v>
      </c>
      <c r="V69" s="336" t="s">
        <v>273</v>
      </c>
      <c r="W69" s="351" t="s">
        <v>24</v>
      </c>
      <c r="X69" s="370"/>
      <c r="Y69" s="371"/>
      <c r="Z69" s="372" t="e">
        <f>Y69/X69</f>
        <v>#DIV/0!</v>
      </c>
      <c r="AA69" s="370"/>
      <c r="AB69" s="371"/>
      <c r="AC69" s="372" t="e">
        <f>AB69/AA69</f>
        <v>#DIV/0!</v>
      </c>
      <c r="AD69" s="370"/>
      <c r="AE69" s="371"/>
      <c r="AF69" s="372" t="e">
        <f>AE69/AD69</f>
        <v>#DIV/0!</v>
      </c>
      <c r="AG69" s="370"/>
      <c r="AH69" s="371"/>
      <c r="AI69" s="372" t="e">
        <f>AH69/AG69</f>
        <v>#DIV/0!</v>
      </c>
    </row>
    <row r="70" spans="1:35" x14ac:dyDescent="0.2">
      <c r="A70" s="4">
        <v>70</v>
      </c>
    </row>
    <row r="71" spans="1:35" ht="13.5" thickBot="1" x14ac:dyDescent="0.25">
      <c r="A71" s="4">
        <v>71</v>
      </c>
      <c r="B71" s="274" t="s">
        <v>413</v>
      </c>
      <c r="C71" s="204"/>
      <c r="D71" s="106"/>
      <c r="E71" s="106"/>
      <c r="F71" s="106"/>
      <c r="G71" s="106"/>
      <c r="H71" s="106"/>
      <c r="I71" s="106"/>
      <c r="J71" s="106"/>
      <c r="K71" s="106"/>
      <c r="L71" s="106"/>
      <c r="M71" s="106"/>
      <c r="N71" s="106"/>
      <c r="O71" s="72"/>
      <c r="P71" s="72"/>
      <c r="Q71" s="72"/>
      <c r="R71" s="106"/>
      <c r="S71" s="106"/>
      <c r="T71" s="106"/>
      <c r="U71" s="106"/>
      <c r="V71" s="72"/>
      <c r="W71" s="72"/>
      <c r="X71" s="72"/>
      <c r="Y71" s="72"/>
      <c r="Z71" s="106"/>
      <c r="AA71" s="106"/>
      <c r="AB71" s="106"/>
      <c r="AC71" s="106"/>
      <c r="AD71" s="106"/>
      <c r="AE71" s="106"/>
      <c r="AF71" s="106"/>
      <c r="AG71" s="8"/>
      <c r="AH71" s="8"/>
      <c r="AI71" s="8"/>
    </row>
    <row r="72" spans="1:35" ht="11" thickBot="1" x14ac:dyDescent="0.25">
      <c r="A72" s="4">
        <v>72</v>
      </c>
      <c r="B72" s="107"/>
      <c r="C72" s="217" t="s">
        <v>17</v>
      </c>
      <c r="D72" s="129" t="s">
        <v>309</v>
      </c>
      <c r="E72" s="108"/>
      <c r="F72" s="108"/>
      <c r="G72" s="108"/>
      <c r="H72" s="109"/>
      <c r="I72" s="365" t="s">
        <v>176</v>
      </c>
      <c r="V72" s="31" t="str">
        <f>P82</f>
        <v>Projected Year 4</v>
      </c>
      <c r="X72" s="26"/>
      <c r="Y72" s="26"/>
      <c r="Z72" s="26"/>
    </row>
    <row r="73" spans="1:35" ht="11" thickBot="1" x14ac:dyDescent="0.3">
      <c r="A73" s="4">
        <v>73</v>
      </c>
      <c r="B73" s="110" t="s">
        <v>174</v>
      </c>
      <c r="C73" s="218" t="s">
        <v>184</v>
      </c>
      <c r="D73" s="130" t="s">
        <v>176</v>
      </c>
      <c r="E73" s="111" t="s">
        <v>176</v>
      </c>
      <c r="F73" s="111" t="s">
        <v>176</v>
      </c>
      <c r="G73" s="111" t="s">
        <v>176</v>
      </c>
      <c r="H73" s="112" t="s">
        <v>176</v>
      </c>
      <c r="I73" s="353" t="s">
        <v>281</v>
      </c>
      <c r="V73" s="341"/>
      <c r="W73" s="341"/>
      <c r="X73" s="347" t="s">
        <v>297</v>
      </c>
      <c r="Y73" s="348"/>
      <c r="Z73" s="349"/>
    </row>
    <row r="74" spans="1:35" ht="10.5" x14ac:dyDescent="0.2">
      <c r="A74" s="4">
        <v>74</v>
      </c>
      <c r="B74" s="110" t="s">
        <v>177</v>
      </c>
      <c r="C74" s="219" t="s">
        <v>140</v>
      </c>
      <c r="D74" s="131" t="s">
        <v>136</v>
      </c>
      <c r="E74" s="113" t="s">
        <v>81</v>
      </c>
      <c r="F74" s="113" t="s">
        <v>137</v>
      </c>
      <c r="G74" s="113" t="s">
        <v>82</v>
      </c>
      <c r="H74" s="114" t="s">
        <v>139</v>
      </c>
      <c r="I74" s="353" t="s">
        <v>87</v>
      </c>
      <c r="V74" s="342"/>
      <c r="W74" s="342"/>
      <c r="X74" s="149" t="s">
        <v>296</v>
      </c>
      <c r="Y74" s="366"/>
      <c r="Z74" s="366"/>
    </row>
    <row r="75" spans="1:35" ht="11" thickBot="1" x14ac:dyDescent="0.3">
      <c r="A75" s="4">
        <v>75</v>
      </c>
      <c r="B75" s="116" t="s">
        <v>74</v>
      </c>
      <c r="C75" s="220" t="s">
        <v>19</v>
      </c>
      <c r="D75" s="132" t="s">
        <v>148</v>
      </c>
      <c r="E75" s="117" t="s">
        <v>148</v>
      </c>
      <c r="F75" s="117" t="s">
        <v>148</v>
      </c>
      <c r="G75" s="117" t="s">
        <v>148</v>
      </c>
      <c r="H75" s="118" t="s">
        <v>91</v>
      </c>
      <c r="I75" s="354" t="s">
        <v>299</v>
      </c>
      <c r="V75" s="344" t="s">
        <v>275</v>
      </c>
      <c r="W75" s="344" t="s">
        <v>14</v>
      </c>
      <c r="X75" s="352" t="s">
        <v>300</v>
      </c>
      <c r="Y75" s="41"/>
    </row>
    <row r="76" spans="1:35" ht="11" thickBot="1" x14ac:dyDescent="0.25">
      <c r="A76" s="4">
        <v>76</v>
      </c>
      <c r="B76" s="405" t="s">
        <v>519</v>
      </c>
      <c r="C76" s="221">
        <f>'D1. Member Months'!L32</f>
        <v>37701.690993823009</v>
      </c>
      <c r="D76" s="214">
        <f>'D5. Waiver Cost Projection'!O57</f>
        <v>605.50663285204121</v>
      </c>
      <c r="E76" s="49">
        <f>'D5. Waiver Cost Projection'!S57</f>
        <v>0</v>
      </c>
      <c r="F76" s="49">
        <f>'D5. Waiver Cost Projection'!W57</f>
        <v>0</v>
      </c>
      <c r="G76" s="49">
        <f>'D5. Waiver Cost Projection'!AA57</f>
        <v>9.1492669033649179</v>
      </c>
      <c r="H76" s="161">
        <f>'D5. Waiver Cost Projection'!AB57</f>
        <v>614.65589975540615</v>
      </c>
      <c r="I76" s="364">
        <f>H76-G76</f>
        <v>605.50663285204121</v>
      </c>
      <c r="V76" s="343"/>
      <c r="W76" s="343"/>
      <c r="X76" s="354" t="s">
        <v>298</v>
      </c>
      <c r="Y76" s="41"/>
      <c r="AH76" s="207"/>
    </row>
    <row r="77" spans="1:35" ht="11" thickBot="1" x14ac:dyDescent="0.25">
      <c r="A77" s="4">
        <v>77</v>
      </c>
      <c r="B77" s="405" t="s">
        <v>520</v>
      </c>
      <c r="C77" s="221">
        <f>'D1. Member Months'!L33</f>
        <v>186069.58417162072</v>
      </c>
      <c r="D77" s="214">
        <f>'D5. Waiver Cost Projection'!O58</f>
        <v>1714.3146903472061</v>
      </c>
      <c r="E77" s="49">
        <f>'D5. Waiver Cost Projection'!S58</f>
        <v>0</v>
      </c>
      <c r="F77" s="49">
        <f>'D5. Waiver Cost Projection'!W58</f>
        <v>0</v>
      </c>
      <c r="G77" s="49">
        <f>'D5. Waiver Cost Projection'!AA58</f>
        <v>41.103419973244876</v>
      </c>
      <c r="H77" s="161">
        <f>'D5. Waiver Cost Projection'!AB58</f>
        <v>1755.418110320451</v>
      </c>
      <c r="I77" s="157">
        <f>H77-G77</f>
        <v>1714.3146903472061</v>
      </c>
      <c r="V77" s="419" t="s">
        <v>271</v>
      </c>
      <c r="W77" s="405" t="s">
        <v>327</v>
      </c>
      <c r="X77" s="385">
        <f>I76</f>
        <v>605.50663285204121</v>
      </c>
      <c r="Y77" s="367"/>
      <c r="AH77" s="207"/>
    </row>
    <row r="78" spans="1:35" ht="11" thickBot="1" x14ac:dyDescent="0.25">
      <c r="A78" s="4">
        <v>78</v>
      </c>
      <c r="B78" s="405" t="s">
        <v>521</v>
      </c>
      <c r="C78" s="221">
        <f>'D1. Member Months'!L34</f>
        <v>82554.493093024881</v>
      </c>
      <c r="D78" s="214">
        <f>'D5. Waiver Cost Projection'!O59</f>
        <v>4218.6418103719925</v>
      </c>
      <c r="E78" s="49">
        <f>'D5. Waiver Cost Projection'!S59</f>
        <v>0</v>
      </c>
      <c r="F78" s="49">
        <f>'D5. Waiver Cost Projection'!W59</f>
        <v>0</v>
      </c>
      <c r="G78" s="49">
        <f>'D5. Waiver Cost Projection'!AA59</f>
        <v>40.898316769291284</v>
      </c>
      <c r="H78" s="161">
        <f>'D5. Waiver Cost Projection'!AB59</f>
        <v>4259.5401271412838</v>
      </c>
      <c r="I78" s="157">
        <f>H78-G78</f>
        <v>4218.6418103719925</v>
      </c>
      <c r="V78" s="419" t="s">
        <v>271</v>
      </c>
      <c r="W78" s="405" t="s">
        <v>328</v>
      </c>
      <c r="X78" s="385">
        <f>I77</f>
        <v>1714.3146903472061</v>
      </c>
      <c r="AH78" s="207"/>
    </row>
    <row r="79" spans="1:35" ht="11" thickBot="1" x14ac:dyDescent="0.25">
      <c r="A79" s="4">
        <v>79</v>
      </c>
      <c r="B79" s="405" t="s">
        <v>546</v>
      </c>
      <c r="C79" s="221">
        <f>'D1. Member Months'!L35</f>
        <v>434564.60628495459</v>
      </c>
      <c r="D79" s="214">
        <f>'D5. Waiver Cost Projection'!O60</f>
        <v>361.3682351106666</v>
      </c>
      <c r="E79" s="49">
        <f>'D5. Waiver Cost Projection'!S60</f>
        <v>0</v>
      </c>
      <c r="F79" s="49">
        <f>'D5. Waiver Cost Projection'!W60</f>
        <v>0</v>
      </c>
      <c r="G79" s="49">
        <f>'D5. Waiver Cost Projection'!AA60</f>
        <v>6.8730585029853613</v>
      </c>
      <c r="H79" s="161">
        <f>'D5. Waiver Cost Projection'!AB60</f>
        <v>368.24129361365198</v>
      </c>
      <c r="I79" s="157">
        <f>H79-G79</f>
        <v>361.3682351106666</v>
      </c>
      <c r="V79" s="419" t="s">
        <v>274</v>
      </c>
      <c r="W79" s="405" t="s">
        <v>329</v>
      </c>
      <c r="X79" s="385">
        <f>I78</f>
        <v>4218.6418103719925</v>
      </c>
      <c r="AH79" s="207"/>
    </row>
    <row r="80" spans="1:35" ht="11.5" thickTop="1" thickBot="1" x14ac:dyDescent="0.3">
      <c r="A80" s="4">
        <v>80</v>
      </c>
      <c r="B80" s="123" t="s">
        <v>98</v>
      </c>
      <c r="C80" s="223">
        <f>SUM(C76:C79)</f>
        <v>740890.37454342318</v>
      </c>
      <c r="D80" s="216"/>
      <c r="E80" s="208"/>
      <c r="F80" s="208"/>
      <c r="G80" s="208"/>
      <c r="H80" s="209"/>
      <c r="I80" s="209"/>
      <c r="V80" s="419" t="s">
        <v>274</v>
      </c>
      <c r="W80" s="406" t="s">
        <v>330</v>
      </c>
      <c r="X80" s="385">
        <f>I79</f>
        <v>361.3682351106666</v>
      </c>
      <c r="AH80" s="207"/>
    </row>
    <row r="81" spans="1:35" ht="11" thickBot="1" x14ac:dyDescent="0.25">
      <c r="A81" s="4">
        <v>81</v>
      </c>
      <c r="B81" s="275" t="s">
        <v>482</v>
      </c>
      <c r="C81" s="224"/>
      <c r="D81" s="205">
        <f>SUMPRODUCT(D76:D79,$C$76:$C$79)/$C$80</f>
        <v>1143.3758024887265</v>
      </c>
      <c r="E81" s="205">
        <f>SUMPRODUCT(E76:E79,$C$76:$C$79)/$C$80</f>
        <v>0</v>
      </c>
      <c r="F81" s="205">
        <f>SUMPRODUCT(F76:F79,$C$76:$C$79)/$C$80</f>
        <v>0</v>
      </c>
      <c r="G81" s="362">
        <f>SUMPRODUCT(G76:G79,$C$76:$C$79)/$C$80</f>
        <v>19.376911026116357</v>
      </c>
      <c r="H81" s="205">
        <f>SUMPRODUCT(H76:H79,$C$76:$C$79)/$C$80</f>
        <v>1162.752713514843</v>
      </c>
      <c r="I81" s="206"/>
      <c r="J81" s="125"/>
      <c r="K81" s="126"/>
      <c r="L81" s="126"/>
      <c r="M81" s="126"/>
      <c r="N81" s="126"/>
      <c r="O81" s="127"/>
      <c r="P81" s="127"/>
      <c r="Q81" s="127"/>
      <c r="R81" s="126"/>
      <c r="S81" s="126"/>
      <c r="T81" s="126"/>
      <c r="U81" s="126"/>
      <c r="V81" s="336" t="s">
        <v>273</v>
      </c>
      <c r="W81" s="351" t="s">
        <v>24</v>
      </c>
      <c r="X81" s="386">
        <f>G81</f>
        <v>19.376911026116357</v>
      </c>
      <c r="Y81" s="127"/>
      <c r="Z81" s="127"/>
      <c r="AA81" s="126"/>
      <c r="AB81" s="126"/>
      <c r="AC81" s="126"/>
      <c r="AD81" s="126"/>
      <c r="AE81" s="126"/>
      <c r="AF81" s="126"/>
      <c r="AH81" s="207"/>
    </row>
    <row r="82" spans="1:35" ht="13" thickBot="1" x14ac:dyDescent="0.3">
      <c r="A82" s="4">
        <v>82</v>
      </c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22" t="s">
        <v>413</v>
      </c>
      <c r="Q82" s="486">
        <f>'D1. Member Months'!H7</f>
        <v>45444</v>
      </c>
      <c r="R82" s="486" t="s">
        <v>388</v>
      </c>
      <c r="S82" s="486">
        <f>'D1. Member Months'!J7</f>
        <v>45808</v>
      </c>
      <c r="T82" s="8"/>
      <c r="U82" s="377"/>
      <c r="V82" s="31" t="str">
        <f>P82</f>
        <v>Projected Year 4</v>
      </c>
      <c r="X82" s="368" t="s">
        <v>293</v>
      </c>
      <c r="Y82" s="360"/>
      <c r="Z82" s="361"/>
      <c r="AA82" s="368" t="s">
        <v>293</v>
      </c>
      <c r="AB82" s="360"/>
      <c r="AC82" s="361"/>
      <c r="AD82" s="368" t="s">
        <v>293</v>
      </c>
      <c r="AE82" s="360"/>
      <c r="AF82" s="361"/>
      <c r="AG82" s="368" t="s">
        <v>293</v>
      </c>
      <c r="AH82" s="360"/>
      <c r="AI82" s="361"/>
    </row>
    <row r="83" spans="1:35" ht="10.5" x14ac:dyDescent="0.2">
      <c r="A83" s="4">
        <v>83</v>
      </c>
      <c r="B83" s="149"/>
      <c r="C83" s="320" t="s">
        <v>473</v>
      </c>
      <c r="D83" s="108"/>
      <c r="E83" s="109"/>
      <c r="F83" s="320" t="s">
        <v>474</v>
      </c>
      <c r="G83" s="108"/>
      <c r="H83" s="109"/>
      <c r="I83" s="320" t="s">
        <v>475</v>
      </c>
      <c r="J83" s="108"/>
      <c r="K83" s="109"/>
      <c r="L83" s="320" t="s">
        <v>476</v>
      </c>
      <c r="M83" s="108"/>
      <c r="N83" s="109"/>
      <c r="O83" s="373"/>
      <c r="P83" s="341"/>
      <c r="Q83" s="341"/>
      <c r="R83" s="337"/>
      <c r="S83" s="337"/>
      <c r="T83" s="337"/>
      <c r="U83" s="337"/>
      <c r="V83" s="341"/>
      <c r="W83" s="341"/>
      <c r="X83" s="320" t="s">
        <v>488</v>
      </c>
      <c r="Y83" s="108"/>
      <c r="Z83" s="109"/>
      <c r="AA83" s="320" t="s">
        <v>489</v>
      </c>
      <c r="AB83" s="108"/>
      <c r="AC83" s="109"/>
      <c r="AD83" s="320" t="s">
        <v>490</v>
      </c>
      <c r="AE83" s="108"/>
      <c r="AF83" s="109"/>
      <c r="AG83" s="320" t="s">
        <v>491</v>
      </c>
      <c r="AH83" s="108"/>
      <c r="AI83" s="109"/>
    </row>
    <row r="84" spans="1:35" ht="10.5" x14ac:dyDescent="0.2">
      <c r="A84" s="4">
        <v>84</v>
      </c>
      <c r="B84" s="150" t="s">
        <v>174</v>
      </c>
      <c r="C84" s="202" t="s">
        <v>140</v>
      </c>
      <c r="D84" s="115" t="s">
        <v>272</v>
      </c>
      <c r="E84" s="319" t="s">
        <v>270</v>
      </c>
      <c r="F84" s="110" t="s">
        <v>140</v>
      </c>
      <c r="G84" s="115" t="s">
        <v>272</v>
      </c>
      <c r="H84" s="319" t="s">
        <v>270</v>
      </c>
      <c r="I84" s="110" t="s">
        <v>140</v>
      </c>
      <c r="J84" s="115" t="s">
        <v>272</v>
      </c>
      <c r="K84" s="319" t="s">
        <v>270</v>
      </c>
      <c r="L84" s="110" t="s">
        <v>140</v>
      </c>
      <c r="M84" s="115" t="s">
        <v>272</v>
      </c>
      <c r="N84" s="319" t="s">
        <v>270</v>
      </c>
      <c r="O84" s="353"/>
      <c r="P84" s="342"/>
      <c r="Q84" s="342"/>
      <c r="R84" s="338"/>
      <c r="S84" s="338"/>
      <c r="T84" s="339"/>
      <c r="U84" s="340"/>
      <c r="V84" s="342"/>
      <c r="W84" s="342"/>
      <c r="X84" s="202" t="s">
        <v>140</v>
      </c>
      <c r="Y84" s="113" t="s">
        <v>284</v>
      </c>
      <c r="Z84" s="319" t="s">
        <v>284</v>
      </c>
      <c r="AA84" s="202" t="s">
        <v>140</v>
      </c>
      <c r="AB84" s="113" t="s">
        <v>284</v>
      </c>
      <c r="AC84" s="319" t="s">
        <v>284</v>
      </c>
      <c r="AD84" s="202" t="s">
        <v>140</v>
      </c>
      <c r="AE84" s="113" t="s">
        <v>284</v>
      </c>
      <c r="AF84" s="319" t="s">
        <v>284</v>
      </c>
      <c r="AG84" s="202" t="s">
        <v>140</v>
      </c>
      <c r="AH84" s="113" t="s">
        <v>284</v>
      </c>
      <c r="AI84" s="319" t="s">
        <v>284</v>
      </c>
    </row>
    <row r="85" spans="1:35" ht="10.5" x14ac:dyDescent="0.25">
      <c r="A85" s="4">
        <v>85</v>
      </c>
      <c r="B85" s="150" t="s">
        <v>177</v>
      </c>
      <c r="C85" s="202" t="s">
        <v>178</v>
      </c>
      <c r="D85" s="115" t="s">
        <v>87</v>
      </c>
      <c r="E85" s="114" t="s">
        <v>82</v>
      </c>
      <c r="F85" s="110" t="s">
        <v>178</v>
      </c>
      <c r="G85" s="115" t="s">
        <v>87</v>
      </c>
      <c r="H85" s="114" t="s">
        <v>82</v>
      </c>
      <c r="I85" s="110" t="s">
        <v>178</v>
      </c>
      <c r="J85" s="115" t="s">
        <v>87</v>
      </c>
      <c r="K85" s="114" t="s">
        <v>82</v>
      </c>
      <c r="L85" s="110" t="s">
        <v>178</v>
      </c>
      <c r="M85" s="115" t="s">
        <v>87</v>
      </c>
      <c r="N85" s="114" t="s">
        <v>82</v>
      </c>
      <c r="O85" s="353" t="s">
        <v>209</v>
      </c>
      <c r="P85" s="344" t="s">
        <v>275</v>
      </c>
      <c r="Q85" s="344" t="s">
        <v>14</v>
      </c>
      <c r="R85" s="345" t="s">
        <v>473</v>
      </c>
      <c r="S85" s="345" t="s">
        <v>474</v>
      </c>
      <c r="T85" s="345" t="s">
        <v>475</v>
      </c>
      <c r="U85" s="345" t="s">
        <v>476</v>
      </c>
      <c r="V85" s="344" t="s">
        <v>275</v>
      </c>
      <c r="W85" s="344" t="s">
        <v>14</v>
      </c>
      <c r="X85" s="202" t="s">
        <v>279</v>
      </c>
      <c r="Y85" s="115" t="s">
        <v>282</v>
      </c>
      <c r="Z85" s="114" t="s">
        <v>283</v>
      </c>
      <c r="AA85" s="202" t="s">
        <v>279</v>
      </c>
      <c r="AB85" s="115" t="s">
        <v>282</v>
      </c>
      <c r="AC85" s="114" t="s">
        <v>283</v>
      </c>
      <c r="AD85" s="202" t="s">
        <v>279</v>
      </c>
      <c r="AE85" s="115" t="s">
        <v>282</v>
      </c>
      <c r="AF85" s="114" t="s">
        <v>283</v>
      </c>
      <c r="AG85" s="202" t="s">
        <v>279</v>
      </c>
      <c r="AH85" s="115" t="s">
        <v>282</v>
      </c>
      <c r="AI85" s="114" t="s">
        <v>283</v>
      </c>
    </row>
    <row r="86" spans="1:35" ht="11" thickBot="1" x14ac:dyDescent="0.25">
      <c r="A86" s="4">
        <v>86</v>
      </c>
      <c r="B86" s="151" t="s">
        <v>74</v>
      </c>
      <c r="C86" s="116"/>
      <c r="D86" s="321" t="s">
        <v>179</v>
      </c>
      <c r="E86" s="118" t="s">
        <v>86</v>
      </c>
      <c r="F86" s="116"/>
      <c r="G86" s="321" t="s">
        <v>179</v>
      </c>
      <c r="H86" s="118" t="s">
        <v>86</v>
      </c>
      <c r="I86" s="116"/>
      <c r="J86" s="321" t="s">
        <v>179</v>
      </c>
      <c r="K86" s="118" t="s">
        <v>86</v>
      </c>
      <c r="L86" s="116"/>
      <c r="M86" s="321" t="s">
        <v>179</v>
      </c>
      <c r="N86" s="118" t="s">
        <v>86</v>
      </c>
      <c r="O86" s="354" t="s">
        <v>91</v>
      </c>
      <c r="P86" s="343"/>
      <c r="Q86" s="343"/>
      <c r="R86" s="484">
        <f>'D1. Member Months'!I31-1</f>
        <v>45535</v>
      </c>
      <c r="S86" s="484">
        <f>'D1. Member Months'!J31-1</f>
        <v>45626</v>
      </c>
      <c r="T86" s="484">
        <f>'D1. Member Months'!K31-1</f>
        <v>45716</v>
      </c>
      <c r="U86" s="485">
        <f>'D1. Member Months'!J7</f>
        <v>45808</v>
      </c>
      <c r="V86" s="343"/>
      <c r="W86" s="343"/>
      <c r="X86" s="116">
        <f>R86</f>
        <v>45535</v>
      </c>
      <c r="Y86" s="321" t="s">
        <v>280</v>
      </c>
      <c r="Z86" s="118"/>
      <c r="AA86" s="116">
        <f>S86</f>
        <v>45626</v>
      </c>
      <c r="AB86" s="321" t="s">
        <v>280</v>
      </c>
      <c r="AC86" s="118"/>
      <c r="AD86" s="116">
        <f>T86</f>
        <v>45716</v>
      </c>
      <c r="AE86" s="321" t="s">
        <v>280</v>
      </c>
      <c r="AF86" s="118"/>
      <c r="AG86" s="116">
        <f>U86</f>
        <v>45808</v>
      </c>
      <c r="AH86" s="321" t="s">
        <v>280</v>
      </c>
      <c r="AI86" s="118"/>
    </row>
    <row r="87" spans="1:35" ht="11" thickBot="1" x14ac:dyDescent="0.25">
      <c r="A87" s="4">
        <v>87</v>
      </c>
      <c r="B87" s="405" t="s">
        <v>519</v>
      </c>
      <c r="C87" s="210">
        <f>'D1. Member Months'!H32</f>
        <v>9548.4287705073839</v>
      </c>
      <c r="D87" s="298">
        <f>C87*($D76+$E76+$F76)</f>
        <v>5781636.9538574815</v>
      </c>
      <c r="E87" s="211">
        <f>C87*$G76</f>
        <v>87361.123329140581</v>
      </c>
      <c r="F87" s="210">
        <f>'D1. Member Months'!I32</f>
        <v>9448.7535947298438</v>
      </c>
      <c r="G87" s="298">
        <f>F87*($D76+$E76+$F76)</f>
        <v>5721282.973793488</v>
      </c>
      <c r="H87" s="211">
        <f>F87*$G76</f>
        <v>86449.168542312051</v>
      </c>
      <c r="I87" s="210">
        <f>'D1. Member Months'!J32</f>
        <v>8893.7440932412756</v>
      </c>
      <c r="J87" s="298">
        <f>I87*($D76+$E76+$F76)</f>
        <v>5385221.0393462554</v>
      </c>
      <c r="K87" s="211">
        <f>I87*$G76</f>
        <v>81371.238479289634</v>
      </c>
      <c r="L87" s="210">
        <f>'D1. Member Months'!K32</f>
        <v>9810.7645353445114</v>
      </c>
      <c r="M87" s="298">
        <f>L87*($D76+$E76+$F76)</f>
        <v>5940482.9995006761</v>
      </c>
      <c r="N87" s="211">
        <f>L87*$G76</f>
        <v>89761.303259933833</v>
      </c>
      <c r="O87" s="374">
        <f>D87+E87+G87+H87+J87+K87+M87+N87</f>
        <v>23173566.800108582</v>
      </c>
      <c r="P87" s="419" t="s">
        <v>271</v>
      </c>
      <c r="Q87" s="405" t="s">
        <v>327</v>
      </c>
      <c r="R87" s="346">
        <f>D87</f>
        <v>5781636.9538574815</v>
      </c>
      <c r="S87" s="346">
        <f>G87</f>
        <v>5721282.973793488</v>
      </c>
      <c r="T87" s="346">
        <f>J87</f>
        <v>5385221.0393462554</v>
      </c>
      <c r="U87" s="346">
        <f>M87</f>
        <v>5940482.9995006761</v>
      </c>
      <c r="V87" s="419" t="s">
        <v>271</v>
      </c>
      <c r="W87" s="405" t="s">
        <v>327</v>
      </c>
      <c r="X87" s="355"/>
      <c r="Y87" s="356"/>
      <c r="Z87" s="357" t="e">
        <f>Y87/X87</f>
        <v>#DIV/0!</v>
      </c>
      <c r="AA87" s="355"/>
      <c r="AB87" s="356"/>
      <c r="AC87" s="357" t="e">
        <f>AB87/AA87</f>
        <v>#DIV/0!</v>
      </c>
      <c r="AD87" s="355"/>
      <c r="AE87" s="356"/>
      <c r="AF87" s="357" t="e">
        <f>AE87/AD87</f>
        <v>#DIV/0!</v>
      </c>
      <c r="AG87" s="355"/>
      <c r="AH87" s="356"/>
      <c r="AI87" s="357" t="e">
        <f>AH87/AG87</f>
        <v>#DIV/0!</v>
      </c>
    </row>
    <row r="88" spans="1:35" ht="11" thickBot="1" x14ac:dyDescent="0.25">
      <c r="A88" s="4">
        <v>88</v>
      </c>
      <c r="B88" s="405" t="s">
        <v>520</v>
      </c>
      <c r="C88" s="210">
        <f>'D1. Member Months'!H33</f>
        <v>45070.485924518223</v>
      </c>
      <c r="D88" s="298">
        <f>C88*($D77+$E77+$F77)</f>
        <v>77264996.121488571</v>
      </c>
      <c r="E88" s="211">
        <f>C88*$G77</f>
        <v>1852551.1113536945</v>
      </c>
      <c r="F88" s="210">
        <f>'D1. Member Months'!I33</f>
        <v>46021.640149511804</v>
      </c>
      <c r="G88" s="298">
        <f>F88*($D77+$E77+$F77)</f>
        <v>78895573.782180876</v>
      </c>
      <c r="H88" s="211">
        <f>F88*$G77</f>
        <v>1891646.8029229317</v>
      </c>
      <c r="I88" s="210">
        <f>'D1. Member Months'!J33</f>
        <v>46992.867252380252</v>
      </c>
      <c r="J88" s="298">
        <f>I88*($D77+$E77+$F77)</f>
        <v>80560562.672291622</v>
      </c>
      <c r="K88" s="211">
        <f>I88*$G77</f>
        <v>1931567.5584215315</v>
      </c>
      <c r="L88" s="210">
        <f>'D1. Member Months'!K33</f>
        <v>47984.590845210434</v>
      </c>
      <c r="M88" s="298">
        <f>L88*($D77+$E77+$F77)</f>
        <v>82260688.996244311</v>
      </c>
      <c r="N88" s="211">
        <f>L88*$G77</f>
        <v>1972330.7897550059</v>
      </c>
      <c r="O88" s="374">
        <f>D88+E88+G88+H88+J88+K88+M88+N88</f>
        <v>326629917.8346585</v>
      </c>
      <c r="P88" s="419" t="s">
        <v>271</v>
      </c>
      <c r="Q88" s="405" t="s">
        <v>328</v>
      </c>
      <c r="R88" s="346">
        <f>D88</f>
        <v>77264996.121488571</v>
      </c>
      <c r="S88" s="346">
        <f>G88</f>
        <v>78895573.782180876</v>
      </c>
      <c r="T88" s="346">
        <f>J88</f>
        <v>80560562.672291622</v>
      </c>
      <c r="U88" s="346">
        <f>M88</f>
        <v>82260688.996244311</v>
      </c>
      <c r="V88" s="419" t="s">
        <v>271</v>
      </c>
      <c r="W88" s="405" t="s">
        <v>328</v>
      </c>
      <c r="X88" s="355"/>
      <c r="Y88" s="356"/>
      <c r="Z88" s="357" t="e">
        <f>Y88/X88</f>
        <v>#DIV/0!</v>
      </c>
      <c r="AA88" s="355"/>
      <c r="AB88" s="356"/>
      <c r="AC88" s="357" t="e">
        <f>AB88/AA88</f>
        <v>#DIV/0!</v>
      </c>
      <c r="AD88" s="355"/>
      <c r="AE88" s="356"/>
      <c r="AF88" s="357" t="e">
        <f>AE88/AD88</f>
        <v>#DIV/0!</v>
      </c>
      <c r="AG88" s="355"/>
      <c r="AH88" s="356"/>
      <c r="AI88" s="357" t="e">
        <f>AH88/AG88</f>
        <v>#DIV/0!</v>
      </c>
    </row>
    <row r="89" spans="1:35" ht="11" thickBot="1" x14ac:dyDescent="0.25">
      <c r="A89" s="4">
        <v>89</v>
      </c>
      <c r="B89" s="405" t="s">
        <v>521</v>
      </c>
      <c r="C89" s="210">
        <f>'D1. Member Months'!H34</f>
        <v>20337.229460008111</v>
      </c>
      <c r="D89" s="298">
        <f>C89*($D78+$E78+$F78)</f>
        <v>85795486.507119238</v>
      </c>
      <c r="E89" s="211">
        <f>C89*$G78</f>
        <v>831758.4526651745</v>
      </c>
      <c r="F89" s="210">
        <f>'D1. Member Months'!I34</f>
        <v>20425.25911490052</v>
      </c>
      <c r="G89" s="298">
        <f>F89*($D78+$E78+$F78)</f>
        <v>86166852.089800969</v>
      </c>
      <c r="H89" s="211">
        <f>F89*$G78</f>
        <v>835358.71737605555</v>
      </c>
      <c r="I89" s="210">
        <f>'D1. Member Months'!J34</f>
        <v>20661.987511165236</v>
      </c>
      <c r="J89" s="298">
        <f>I89*($D78+$E78+$F78)</f>
        <v>87165524.399985611</v>
      </c>
      <c r="K89" s="211">
        <f>I89*$G78</f>
        <v>845040.51031477633</v>
      </c>
      <c r="L89" s="210">
        <f>'D1. Member Months'!K34</f>
        <v>21130.01700695102</v>
      </c>
      <c r="M89" s="298">
        <f>L89*($D78+$E78+$F78)</f>
        <v>89139973.199394837</v>
      </c>
      <c r="N89" s="211">
        <f>L89*$G78</f>
        <v>864182.12889079493</v>
      </c>
      <c r="O89" s="374">
        <f>D89+E89+G89+H89+J89+K89+M89+N89</f>
        <v>351644176.00554746</v>
      </c>
      <c r="P89" s="419" t="s">
        <v>274</v>
      </c>
      <c r="Q89" s="405" t="s">
        <v>329</v>
      </c>
      <c r="R89" s="346">
        <f>D89</f>
        <v>85795486.507119238</v>
      </c>
      <c r="S89" s="346">
        <f>G89</f>
        <v>86166852.089800969</v>
      </c>
      <c r="T89" s="346">
        <f>J89</f>
        <v>87165524.399985611</v>
      </c>
      <c r="U89" s="346">
        <f>M89</f>
        <v>89139973.199394837</v>
      </c>
      <c r="V89" s="419" t="s">
        <v>274</v>
      </c>
      <c r="W89" s="405" t="s">
        <v>329</v>
      </c>
      <c r="X89" s="355"/>
      <c r="Y89" s="356"/>
      <c r="Z89" s="357" t="e">
        <f>Y89/X89</f>
        <v>#DIV/0!</v>
      </c>
      <c r="AA89" s="355"/>
      <c r="AB89" s="356"/>
      <c r="AC89" s="357" t="e">
        <f>AB89/AA89</f>
        <v>#DIV/0!</v>
      </c>
      <c r="AD89" s="355"/>
      <c r="AE89" s="356"/>
      <c r="AF89" s="357" t="e">
        <f>AE89/AD89</f>
        <v>#DIV/0!</v>
      </c>
      <c r="AG89" s="355"/>
      <c r="AH89" s="356"/>
      <c r="AI89" s="357" t="e">
        <f>AH89/AG89</f>
        <v>#DIV/0!</v>
      </c>
    </row>
    <row r="90" spans="1:35" ht="11" thickBot="1" x14ac:dyDescent="0.25">
      <c r="A90" s="4">
        <v>90</v>
      </c>
      <c r="B90" s="405" t="s">
        <v>546</v>
      </c>
      <c r="C90" s="210">
        <f>'D1. Member Months'!H35</f>
        <v>108607.82964604255</v>
      </c>
      <c r="D90" s="299">
        <f>C90*($D79+$E79+$F79)</f>
        <v>39247419.718390331</v>
      </c>
      <c r="E90" s="213">
        <f>C90*$G79</f>
        <v>746467.96703951829</v>
      </c>
      <c r="F90" s="210">
        <f>'D1. Member Months'!I35</f>
        <v>111859.51879398696</v>
      </c>
      <c r="G90" s="299">
        <f>F90*($D79+$E79+$F79)</f>
        <v>40422476.886911511</v>
      </c>
      <c r="H90" s="213">
        <f>F90*$G79</f>
        <v>768817.01678686298</v>
      </c>
      <c r="I90" s="210">
        <f>'D1. Member Months'!J35</f>
        <v>106855.55061820665</v>
      </c>
      <c r="J90" s="299">
        <f>I90*($D79+$E79+$F79)</f>
        <v>38614201.738679834</v>
      </c>
      <c r="K90" s="213">
        <f>I90*$G79</f>
        <v>734424.45076764782</v>
      </c>
      <c r="L90" s="210">
        <f>'D1. Member Months'!K35</f>
        <v>107241.70722671846</v>
      </c>
      <c r="M90" s="299">
        <f>L90*($D79+$E79+$F79)</f>
        <v>38753746.470774069</v>
      </c>
      <c r="N90" s="213">
        <f>L90*$G79</f>
        <v>737078.52772926399</v>
      </c>
      <c r="O90" s="375">
        <f>D90+E90+G90+H90+J90+K90+M90+N90</f>
        <v>160024632.77707905</v>
      </c>
      <c r="P90" s="419" t="s">
        <v>274</v>
      </c>
      <c r="Q90" s="406" t="s">
        <v>330</v>
      </c>
      <c r="R90" s="346">
        <f>D90</f>
        <v>39247419.718390331</v>
      </c>
      <c r="S90" s="346">
        <f>G90</f>
        <v>40422476.886911511</v>
      </c>
      <c r="T90" s="346">
        <f>J90</f>
        <v>38614201.738679834</v>
      </c>
      <c r="U90" s="346">
        <f>M90</f>
        <v>38753746.470774069</v>
      </c>
      <c r="V90" s="419" t="s">
        <v>274</v>
      </c>
      <c r="W90" s="406" t="s">
        <v>330</v>
      </c>
      <c r="X90" s="358"/>
      <c r="Y90" s="359"/>
      <c r="Z90" s="369" t="e">
        <f>Y90/X90</f>
        <v>#DIV/0!</v>
      </c>
      <c r="AA90" s="358"/>
      <c r="AB90" s="359"/>
      <c r="AC90" s="357" t="e">
        <f>AB90/AA90</f>
        <v>#DIV/0!</v>
      </c>
      <c r="AD90" s="358"/>
      <c r="AE90" s="359"/>
      <c r="AF90" s="357" t="e">
        <f>AE90/AD90</f>
        <v>#DIV/0!</v>
      </c>
      <c r="AG90" s="358"/>
      <c r="AH90" s="359"/>
      <c r="AI90" s="357" t="e">
        <f>AH90/AG90</f>
        <v>#DIV/0!</v>
      </c>
    </row>
    <row r="91" spans="1:35" ht="11.5" thickTop="1" thickBot="1" x14ac:dyDescent="0.25">
      <c r="A91" s="4">
        <v>91</v>
      </c>
      <c r="B91" s="124" t="s">
        <v>98</v>
      </c>
      <c r="C91" s="316">
        <f t="shared" ref="C91:O91" si="3">SUM(C87:C90)</f>
        <v>183563.97380107627</v>
      </c>
      <c r="D91" s="317">
        <f t="shared" si="3"/>
        <v>208089539.30085564</v>
      </c>
      <c r="E91" s="318">
        <f t="shared" si="3"/>
        <v>3518138.6543875281</v>
      </c>
      <c r="F91" s="316">
        <f t="shared" si="3"/>
        <v>187755.17165312913</v>
      </c>
      <c r="G91" s="317">
        <f t="shared" si="3"/>
        <v>211206185.73268685</v>
      </c>
      <c r="H91" s="318">
        <f t="shared" si="3"/>
        <v>3582271.7056281622</v>
      </c>
      <c r="I91" s="316">
        <f t="shared" si="3"/>
        <v>183404.14947499341</v>
      </c>
      <c r="J91" s="317">
        <f t="shared" si="3"/>
        <v>211725509.85030332</v>
      </c>
      <c r="K91" s="318">
        <f t="shared" si="3"/>
        <v>3592403.7579832454</v>
      </c>
      <c r="L91" s="316">
        <f t="shared" si="3"/>
        <v>186167.07961422444</v>
      </c>
      <c r="M91" s="317">
        <f t="shared" si="3"/>
        <v>216094891.66591388</v>
      </c>
      <c r="N91" s="318">
        <f t="shared" si="3"/>
        <v>3663352.7496349984</v>
      </c>
      <c r="O91" s="376">
        <f t="shared" si="3"/>
        <v>861472293.41739368</v>
      </c>
      <c r="P91" s="336" t="s">
        <v>273</v>
      </c>
      <c r="Q91" s="336"/>
      <c r="R91" s="346">
        <f>E91</f>
        <v>3518138.6543875281</v>
      </c>
      <c r="S91" s="346">
        <f>H91</f>
        <v>3582271.7056281622</v>
      </c>
      <c r="T91" s="346">
        <f>K91</f>
        <v>3592403.7579832454</v>
      </c>
      <c r="U91" s="346">
        <f>N91</f>
        <v>3663352.7496349984</v>
      </c>
      <c r="V91" s="336" t="s">
        <v>273</v>
      </c>
      <c r="W91" s="351" t="s">
        <v>24</v>
      </c>
      <c r="X91" s="370"/>
      <c r="Y91" s="371"/>
      <c r="Z91" s="372" t="e">
        <f>Y91/X91</f>
        <v>#DIV/0!</v>
      </c>
      <c r="AA91" s="370"/>
      <c r="AB91" s="371"/>
      <c r="AC91" s="372" t="e">
        <f>AB91/AA91</f>
        <v>#DIV/0!</v>
      </c>
      <c r="AD91" s="370"/>
      <c r="AE91" s="371"/>
      <c r="AF91" s="372" t="e">
        <f>AE91/AD91</f>
        <v>#DIV/0!</v>
      </c>
      <c r="AG91" s="370"/>
      <c r="AH91" s="371"/>
      <c r="AI91" s="372" t="e">
        <f>AH91/AG91</f>
        <v>#DIV/0!</v>
      </c>
    </row>
    <row r="92" spans="1:35" x14ac:dyDescent="0.2">
      <c r="A92" s="4">
        <v>92</v>
      </c>
    </row>
    <row r="93" spans="1:35" ht="13.5" thickBot="1" x14ac:dyDescent="0.25">
      <c r="A93" s="4">
        <v>93</v>
      </c>
      <c r="B93" s="274" t="s">
        <v>420</v>
      </c>
      <c r="C93" s="204"/>
      <c r="D93" s="106"/>
      <c r="E93" s="106"/>
      <c r="F93" s="106"/>
      <c r="G93" s="106"/>
      <c r="H93" s="106"/>
      <c r="I93" s="106"/>
      <c r="J93" s="106"/>
      <c r="K93" s="106"/>
      <c r="L93" s="106"/>
      <c r="M93" s="106"/>
      <c r="N93" s="106"/>
      <c r="O93" s="72"/>
      <c r="P93" s="72"/>
      <c r="Q93" s="72"/>
      <c r="R93" s="106"/>
      <c r="S93" s="106"/>
      <c r="T93" s="106"/>
      <c r="U93" s="106"/>
      <c r="V93" s="72"/>
      <c r="W93" s="72"/>
      <c r="X93" s="72"/>
      <c r="Y93" s="72"/>
      <c r="Z93" s="106"/>
      <c r="AA93" s="106"/>
      <c r="AB93" s="106"/>
      <c r="AC93" s="106"/>
      <c r="AD93" s="106"/>
      <c r="AE93" s="106"/>
      <c r="AF93" s="106"/>
      <c r="AG93" s="8"/>
      <c r="AH93" s="8"/>
      <c r="AI93" s="8"/>
    </row>
    <row r="94" spans="1:35" ht="11" thickBot="1" x14ac:dyDescent="0.25">
      <c r="A94" s="4">
        <v>94</v>
      </c>
      <c r="B94" s="107"/>
      <c r="C94" s="217" t="s">
        <v>17</v>
      </c>
      <c r="D94" s="129" t="s">
        <v>309</v>
      </c>
      <c r="E94" s="108"/>
      <c r="F94" s="108"/>
      <c r="G94" s="108"/>
      <c r="H94" s="109"/>
      <c r="I94" s="365" t="s">
        <v>176</v>
      </c>
      <c r="V94" s="31" t="str">
        <f>P104</f>
        <v>Projected Year 5</v>
      </c>
      <c r="X94" s="26"/>
      <c r="Y94" s="26"/>
      <c r="Z94" s="26"/>
    </row>
    <row r="95" spans="1:35" ht="11" thickBot="1" x14ac:dyDescent="0.3">
      <c r="A95" s="4">
        <v>95</v>
      </c>
      <c r="B95" s="110" t="s">
        <v>174</v>
      </c>
      <c r="C95" s="218" t="s">
        <v>184</v>
      </c>
      <c r="D95" s="130" t="s">
        <v>176</v>
      </c>
      <c r="E95" s="111" t="s">
        <v>176</v>
      </c>
      <c r="F95" s="111" t="s">
        <v>176</v>
      </c>
      <c r="G95" s="111" t="s">
        <v>176</v>
      </c>
      <c r="H95" s="112" t="s">
        <v>176</v>
      </c>
      <c r="I95" s="353" t="s">
        <v>281</v>
      </c>
      <c r="V95" s="341"/>
      <c r="W95" s="341"/>
      <c r="X95" s="347" t="s">
        <v>297</v>
      </c>
      <c r="Y95" s="348"/>
      <c r="Z95" s="349"/>
    </row>
    <row r="96" spans="1:35" ht="10.5" x14ac:dyDescent="0.2">
      <c r="A96" s="4">
        <v>96</v>
      </c>
      <c r="B96" s="110" t="s">
        <v>177</v>
      </c>
      <c r="C96" s="219" t="s">
        <v>140</v>
      </c>
      <c r="D96" s="131" t="s">
        <v>136</v>
      </c>
      <c r="E96" s="113" t="s">
        <v>81</v>
      </c>
      <c r="F96" s="113" t="s">
        <v>137</v>
      </c>
      <c r="G96" s="113" t="s">
        <v>82</v>
      </c>
      <c r="H96" s="114" t="s">
        <v>139</v>
      </c>
      <c r="I96" s="353" t="s">
        <v>87</v>
      </c>
      <c r="V96" s="342"/>
      <c r="W96" s="342"/>
      <c r="X96" s="149" t="s">
        <v>296</v>
      </c>
      <c r="Y96" s="366"/>
      <c r="Z96" s="366"/>
    </row>
    <row r="97" spans="1:35" ht="11" thickBot="1" x14ac:dyDescent="0.3">
      <c r="A97" s="4">
        <v>97</v>
      </c>
      <c r="B97" s="116" t="s">
        <v>74</v>
      </c>
      <c r="C97" s="220" t="s">
        <v>19</v>
      </c>
      <c r="D97" s="132" t="s">
        <v>148</v>
      </c>
      <c r="E97" s="117" t="s">
        <v>148</v>
      </c>
      <c r="F97" s="117" t="s">
        <v>148</v>
      </c>
      <c r="G97" s="117" t="s">
        <v>148</v>
      </c>
      <c r="H97" s="118" t="s">
        <v>91</v>
      </c>
      <c r="I97" s="354" t="s">
        <v>299</v>
      </c>
      <c r="V97" s="344" t="s">
        <v>275</v>
      </c>
      <c r="W97" s="344" t="s">
        <v>14</v>
      </c>
      <c r="X97" s="352" t="s">
        <v>300</v>
      </c>
      <c r="Y97" s="41"/>
    </row>
    <row r="98" spans="1:35" ht="11" thickBot="1" x14ac:dyDescent="0.25">
      <c r="A98" s="4">
        <v>98</v>
      </c>
      <c r="B98" s="405" t="s">
        <v>519</v>
      </c>
      <c r="C98" s="221">
        <f>'D1. Member Months'!Q32</f>
        <v>38894.385475931136</v>
      </c>
      <c r="D98" s="214">
        <f>'D5. Waiver Cost Projection'!O70</f>
        <v>642.86639209901216</v>
      </c>
      <c r="E98" s="49">
        <f>'D5. Waiver Cost Projection'!S70</f>
        <v>0</v>
      </c>
      <c r="F98" s="49">
        <f>'D5. Waiver Cost Projection'!W70</f>
        <v>0</v>
      </c>
      <c r="G98" s="49">
        <f>'D5. Waiver Cost Projection'!AA70</f>
        <v>9.3322522414322169</v>
      </c>
      <c r="H98" s="161">
        <f>'D5. Waiver Cost Projection'!AB70</f>
        <v>652.19864434044439</v>
      </c>
      <c r="I98" s="364">
        <f>H98-G98</f>
        <v>642.86639209901216</v>
      </c>
      <c r="V98" s="343"/>
      <c r="W98" s="343"/>
      <c r="X98" s="354" t="s">
        <v>298</v>
      </c>
      <c r="Y98" s="41"/>
      <c r="AH98" s="207"/>
    </row>
    <row r="99" spans="1:35" ht="11" thickBot="1" x14ac:dyDescent="0.25">
      <c r="A99" s="4">
        <v>99</v>
      </c>
      <c r="B99" s="405" t="s">
        <v>520</v>
      </c>
      <c r="C99" s="221">
        <f>'D1. Member Months'!Q33</f>
        <v>202280.86147383109</v>
      </c>
      <c r="D99" s="214">
        <f>'D5. Waiver Cost Projection'!O71</f>
        <v>1835.0126275769101</v>
      </c>
      <c r="E99" s="49">
        <f>'D5. Waiver Cost Projection'!S71</f>
        <v>0</v>
      </c>
      <c r="F99" s="49">
        <f>'D5. Waiver Cost Projection'!W71</f>
        <v>0</v>
      </c>
      <c r="G99" s="49">
        <f>'D5. Waiver Cost Projection'!AA71</f>
        <v>41.925488372709772</v>
      </c>
      <c r="H99" s="161">
        <f>'D5. Waiver Cost Projection'!AB71</f>
        <v>1876.9381159496199</v>
      </c>
      <c r="I99" s="157">
        <f>H99-G99</f>
        <v>1835.0126275769101</v>
      </c>
      <c r="V99" s="419" t="s">
        <v>271</v>
      </c>
      <c r="W99" s="405" t="s">
        <v>327</v>
      </c>
      <c r="X99" s="385">
        <f>I98</f>
        <v>642.86639209901216</v>
      </c>
      <c r="Y99" s="367"/>
      <c r="AH99" s="207"/>
    </row>
    <row r="100" spans="1:35" ht="11" thickBot="1" x14ac:dyDescent="0.25">
      <c r="A100" s="4">
        <v>100</v>
      </c>
      <c r="B100" s="405" t="s">
        <v>521</v>
      </c>
      <c r="C100" s="221">
        <f>'D1. Member Months'!Q34</f>
        <v>86216.429815161449</v>
      </c>
      <c r="D100" s="214">
        <f>'D5. Waiver Cost Projection'!O72</f>
        <v>4525.9607961777001</v>
      </c>
      <c r="E100" s="49">
        <f>'D5. Waiver Cost Projection'!S72</f>
        <v>0</v>
      </c>
      <c r="F100" s="49">
        <f>'D5. Waiver Cost Projection'!W72</f>
        <v>0</v>
      </c>
      <c r="G100" s="49">
        <f>'D5. Waiver Cost Projection'!AA72</f>
        <v>41.71628310467711</v>
      </c>
      <c r="H100" s="161">
        <f>'D5. Waiver Cost Projection'!AB72</f>
        <v>4567.6770792823772</v>
      </c>
      <c r="I100" s="157">
        <f>H100-G100</f>
        <v>4525.9607961777001</v>
      </c>
      <c r="V100" s="419" t="s">
        <v>271</v>
      </c>
      <c r="W100" s="405" t="s">
        <v>328</v>
      </c>
      <c r="X100" s="385">
        <f>I99</f>
        <v>1835.0126275769101</v>
      </c>
      <c r="AH100" s="207"/>
    </row>
    <row r="101" spans="1:35" ht="11" thickBot="1" x14ac:dyDescent="0.25">
      <c r="A101" s="4">
        <v>101</v>
      </c>
      <c r="B101" s="405" t="s">
        <v>546</v>
      </c>
      <c r="C101" s="221">
        <f>'D1. Member Months'!Q35</f>
        <v>455505.885231024</v>
      </c>
      <c r="D101" s="214">
        <f>'D5. Waiver Cost Projection'!O73</f>
        <v>363.08716227908252</v>
      </c>
      <c r="E101" s="49">
        <f>'D5. Waiver Cost Projection'!S73</f>
        <v>0</v>
      </c>
      <c r="F101" s="49">
        <f>'D5. Waiver Cost Projection'!W73</f>
        <v>0</v>
      </c>
      <c r="G101" s="49">
        <f>'D5. Waiver Cost Projection'!AA73</f>
        <v>7.0105196730450681</v>
      </c>
      <c r="H101" s="161">
        <f>'D5. Waiver Cost Projection'!AB73</f>
        <v>370.09768195212757</v>
      </c>
      <c r="I101" s="157">
        <f>H101-G101</f>
        <v>363.08716227908252</v>
      </c>
      <c r="V101" s="419" t="s">
        <v>274</v>
      </c>
      <c r="W101" s="405" t="s">
        <v>329</v>
      </c>
      <c r="X101" s="385">
        <f>I100</f>
        <v>4525.9607961777001</v>
      </c>
      <c r="AH101" s="207"/>
    </row>
    <row r="102" spans="1:35" ht="11.5" thickTop="1" thickBot="1" x14ac:dyDescent="0.3">
      <c r="A102" s="4">
        <v>102</v>
      </c>
      <c r="B102" s="123" t="s">
        <v>98</v>
      </c>
      <c r="C102" s="223">
        <f>SUM(C98:C101)</f>
        <v>782897.56199594773</v>
      </c>
      <c r="D102" s="216"/>
      <c r="E102" s="208"/>
      <c r="F102" s="208"/>
      <c r="G102" s="208"/>
      <c r="H102" s="209"/>
      <c r="I102" s="209"/>
      <c r="V102" s="419" t="s">
        <v>274</v>
      </c>
      <c r="W102" s="406" t="s">
        <v>330</v>
      </c>
      <c r="X102" s="385">
        <f>I101</f>
        <v>363.08716227908252</v>
      </c>
      <c r="AH102" s="207"/>
    </row>
    <row r="103" spans="1:35" ht="11" thickBot="1" x14ac:dyDescent="0.25">
      <c r="A103" s="4">
        <v>103</v>
      </c>
      <c r="B103" s="275" t="s">
        <v>481</v>
      </c>
      <c r="C103" s="224"/>
      <c r="D103" s="205">
        <f>SUMPRODUCT(D98:D101,$C$98:$C$101)/$C$102</f>
        <v>1215.7303780058814</v>
      </c>
      <c r="E103" s="205">
        <f>SUMPRODUCT(E98:E101,$C$98:$C$101)/$C$102</f>
        <v>0</v>
      </c>
      <c r="F103" s="205">
        <f>SUMPRODUCT(F98:F101,$C$98:$C$101)/$C$102</f>
        <v>0</v>
      </c>
      <c r="G103" s="362">
        <f>SUMPRODUCT(G98:G101,$C$98:$C$101)/$C$102</f>
        <v>19.96897020086049</v>
      </c>
      <c r="H103" s="205">
        <f>SUMPRODUCT(H98:H101,$C$98:$C$101)/$C$102</f>
        <v>1235.6993482067421</v>
      </c>
      <c r="I103" s="206"/>
      <c r="J103" s="125"/>
      <c r="K103" s="126"/>
      <c r="L103" s="126"/>
      <c r="M103" s="126"/>
      <c r="N103" s="126"/>
      <c r="O103" s="127"/>
      <c r="P103" s="127"/>
      <c r="Q103" s="127"/>
      <c r="R103" s="126"/>
      <c r="S103" s="126"/>
      <c r="T103" s="126"/>
      <c r="U103" s="126"/>
      <c r="V103" s="336" t="s">
        <v>273</v>
      </c>
      <c r="W103" s="351" t="s">
        <v>24</v>
      </c>
      <c r="X103" s="386">
        <f>G103</f>
        <v>19.96897020086049</v>
      </c>
      <c r="Y103" s="127"/>
      <c r="Z103" s="127"/>
      <c r="AA103" s="126"/>
      <c r="AB103" s="126"/>
      <c r="AC103" s="126"/>
      <c r="AD103" s="126"/>
      <c r="AE103" s="126"/>
      <c r="AF103" s="126"/>
      <c r="AH103" s="207"/>
    </row>
    <row r="104" spans="1:35" ht="13" thickBot="1" x14ac:dyDescent="0.3">
      <c r="A104" s="4">
        <v>104</v>
      </c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22" t="s">
        <v>420</v>
      </c>
      <c r="Q104" s="486">
        <f>'D1. Member Months'!L7</f>
        <v>45809</v>
      </c>
      <c r="R104" s="486" t="s">
        <v>388</v>
      </c>
      <c r="S104" s="486">
        <f>'D1. Member Months'!N7</f>
        <v>46173</v>
      </c>
      <c r="T104" s="8"/>
      <c r="U104" s="377"/>
      <c r="V104" s="31" t="str">
        <f>P104</f>
        <v>Projected Year 5</v>
      </c>
      <c r="X104" s="368" t="s">
        <v>293</v>
      </c>
      <c r="Y104" s="360"/>
      <c r="Z104" s="361"/>
      <c r="AA104" s="368" t="s">
        <v>293</v>
      </c>
      <c r="AB104" s="360"/>
      <c r="AC104" s="361"/>
      <c r="AD104" s="368" t="s">
        <v>293</v>
      </c>
      <c r="AE104" s="360"/>
      <c r="AF104" s="361"/>
      <c r="AG104" s="368" t="s">
        <v>293</v>
      </c>
      <c r="AH104" s="360"/>
      <c r="AI104" s="361"/>
    </row>
    <row r="105" spans="1:35" ht="10.5" x14ac:dyDescent="0.2">
      <c r="A105" s="4">
        <v>105</v>
      </c>
      <c r="B105" s="149"/>
      <c r="C105" s="320" t="s">
        <v>477</v>
      </c>
      <c r="D105" s="108"/>
      <c r="E105" s="109"/>
      <c r="F105" s="320" t="s">
        <v>478</v>
      </c>
      <c r="G105" s="108"/>
      <c r="H105" s="109"/>
      <c r="I105" s="320" t="s">
        <v>479</v>
      </c>
      <c r="J105" s="108"/>
      <c r="K105" s="109"/>
      <c r="L105" s="320" t="s">
        <v>480</v>
      </c>
      <c r="M105" s="108"/>
      <c r="N105" s="109"/>
      <c r="O105" s="373"/>
      <c r="P105" s="341"/>
      <c r="Q105" s="341"/>
      <c r="R105" s="337"/>
      <c r="S105" s="337"/>
      <c r="T105" s="337"/>
      <c r="U105" s="337"/>
      <c r="V105" s="341"/>
      <c r="W105" s="341"/>
      <c r="X105" s="320" t="s">
        <v>492</v>
      </c>
      <c r="Y105" s="108"/>
      <c r="Z105" s="109"/>
      <c r="AA105" s="320" t="s">
        <v>493</v>
      </c>
      <c r="AB105" s="108"/>
      <c r="AC105" s="109"/>
      <c r="AD105" s="320" t="s">
        <v>494</v>
      </c>
      <c r="AE105" s="108"/>
      <c r="AF105" s="109"/>
      <c r="AG105" s="320" t="s">
        <v>495</v>
      </c>
      <c r="AH105" s="108"/>
      <c r="AI105" s="109"/>
    </row>
    <row r="106" spans="1:35" ht="10.5" x14ac:dyDescent="0.2">
      <c r="A106" s="4">
        <v>106</v>
      </c>
      <c r="B106" s="150" t="s">
        <v>174</v>
      </c>
      <c r="C106" s="202" t="s">
        <v>140</v>
      </c>
      <c r="D106" s="115" t="s">
        <v>272</v>
      </c>
      <c r="E106" s="319" t="s">
        <v>270</v>
      </c>
      <c r="F106" s="110" t="s">
        <v>140</v>
      </c>
      <c r="G106" s="115" t="s">
        <v>272</v>
      </c>
      <c r="H106" s="319" t="s">
        <v>270</v>
      </c>
      <c r="I106" s="110" t="s">
        <v>140</v>
      </c>
      <c r="J106" s="115" t="s">
        <v>272</v>
      </c>
      <c r="K106" s="319" t="s">
        <v>270</v>
      </c>
      <c r="L106" s="110" t="s">
        <v>140</v>
      </c>
      <c r="M106" s="115" t="s">
        <v>272</v>
      </c>
      <c r="N106" s="319" t="s">
        <v>270</v>
      </c>
      <c r="O106" s="353"/>
      <c r="P106" s="342"/>
      <c r="Q106" s="342"/>
      <c r="R106" s="338"/>
      <c r="S106" s="338"/>
      <c r="T106" s="339"/>
      <c r="U106" s="340"/>
      <c r="V106" s="342"/>
      <c r="W106" s="342"/>
      <c r="X106" s="202" t="s">
        <v>140</v>
      </c>
      <c r="Y106" s="113" t="s">
        <v>284</v>
      </c>
      <c r="Z106" s="319" t="s">
        <v>284</v>
      </c>
      <c r="AA106" s="202" t="s">
        <v>140</v>
      </c>
      <c r="AB106" s="113" t="s">
        <v>284</v>
      </c>
      <c r="AC106" s="319" t="s">
        <v>284</v>
      </c>
      <c r="AD106" s="202" t="s">
        <v>140</v>
      </c>
      <c r="AE106" s="113" t="s">
        <v>284</v>
      </c>
      <c r="AF106" s="319" t="s">
        <v>284</v>
      </c>
      <c r="AG106" s="202" t="s">
        <v>140</v>
      </c>
      <c r="AH106" s="113" t="s">
        <v>284</v>
      </c>
      <c r="AI106" s="319" t="s">
        <v>284</v>
      </c>
    </row>
    <row r="107" spans="1:35" ht="10.5" x14ac:dyDescent="0.25">
      <c r="A107" s="4">
        <v>107</v>
      </c>
      <c r="B107" s="150" t="s">
        <v>177</v>
      </c>
      <c r="C107" s="202" t="s">
        <v>178</v>
      </c>
      <c r="D107" s="115" t="s">
        <v>87</v>
      </c>
      <c r="E107" s="114" t="s">
        <v>82</v>
      </c>
      <c r="F107" s="110" t="s">
        <v>178</v>
      </c>
      <c r="G107" s="115" t="s">
        <v>87</v>
      </c>
      <c r="H107" s="114" t="s">
        <v>82</v>
      </c>
      <c r="I107" s="110" t="s">
        <v>178</v>
      </c>
      <c r="J107" s="115" t="s">
        <v>87</v>
      </c>
      <c r="K107" s="114" t="s">
        <v>82</v>
      </c>
      <c r="L107" s="110" t="s">
        <v>178</v>
      </c>
      <c r="M107" s="115" t="s">
        <v>87</v>
      </c>
      <c r="N107" s="114" t="s">
        <v>82</v>
      </c>
      <c r="O107" s="353" t="s">
        <v>209</v>
      </c>
      <c r="P107" s="344" t="s">
        <v>275</v>
      </c>
      <c r="Q107" s="344" t="s">
        <v>14</v>
      </c>
      <c r="R107" s="345" t="s">
        <v>477</v>
      </c>
      <c r="S107" s="345" t="s">
        <v>478</v>
      </c>
      <c r="T107" s="345" t="s">
        <v>479</v>
      </c>
      <c r="U107" s="345" t="s">
        <v>480</v>
      </c>
      <c r="V107" s="344" t="s">
        <v>275</v>
      </c>
      <c r="W107" s="344" t="s">
        <v>14</v>
      </c>
      <c r="X107" s="202" t="s">
        <v>279</v>
      </c>
      <c r="Y107" s="115" t="s">
        <v>282</v>
      </c>
      <c r="Z107" s="114" t="s">
        <v>283</v>
      </c>
      <c r="AA107" s="202" t="s">
        <v>279</v>
      </c>
      <c r="AB107" s="115" t="s">
        <v>282</v>
      </c>
      <c r="AC107" s="114" t="s">
        <v>283</v>
      </c>
      <c r="AD107" s="202" t="s">
        <v>279</v>
      </c>
      <c r="AE107" s="115" t="s">
        <v>282</v>
      </c>
      <c r="AF107" s="114" t="s">
        <v>283</v>
      </c>
      <c r="AG107" s="202" t="s">
        <v>279</v>
      </c>
      <c r="AH107" s="115" t="s">
        <v>282</v>
      </c>
      <c r="AI107" s="114" t="s">
        <v>283</v>
      </c>
    </row>
    <row r="108" spans="1:35" ht="11" thickBot="1" x14ac:dyDescent="0.25">
      <c r="A108" s="4">
        <v>108</v>
      </c>
      <c r="B108" s="151" t="s">
        <v>74</v>
      </c>
      <c r="C108" s="116"/>
      <c r="D108" s="321" t="s">
        <v>179</v>
      </c>
      <c r="E108" s="118" t="s">
        <v>86</v>
      </c>
      <c r="F108" s="116"/>
      <c r="G108" s="321" t="s">
        <v>179</v>
      </c>
      <c r="H108" s="118" t="s">
        <v>86</v>
      </c>
      <c r="I108" s="116"/>
      <c r="J108" s="321" t="s">
        <v>179</v>
      </c>
      <c r="K108" s="118" t="s">
        <v>86</v>
      </c>
      <c r="L108" s="116"/>
      <c r="M108" s="321" t="s">
        <v>179</v>
      </c>
      <c r="N108" s="118" t="s">
        <v>86</v>
      </c>
      <c r="O108" s="354" t="s">
        <v>91</v>
      </c>
      <c r="P108" s="343"/>
      <c r="Q108" s="343"/>
      <c r="R108" s="484">
        <f>'D1. Member Months'!N31-1</f>
        <v>45900</v>
      </c>
      <c r="S108" s="484">
        <f>'D1. Member Months'!O31-1</f>
        <v>45991</v>
      </c>
      <c r="T108" s="484">
        <f>'D1. Member Months'!P31-1</f>
        <v>46081</v>
      </c>
      <c r="U108" s="485">
        <f>'D1. Member Months'!N7</f>
        <v>46173</v>
      </c>
      <c r="V108" s="343"/>
      <c r="W108" s="343"/>
      <c r="X108" s="116">
        <f>R108</f>
        <v>45900</v>
      </c>
      <c r="Y108" s="321" t="s">
        <v>280</v>
      </c>
      <c r="Z108" s="118"/>
      <c r="AA108" s="116">
        <f>S108</f>
        <v>45991</v>
      </c>
      <c r="AB108" s="321" t="s">
        <v>280</v>
      </c>
      <c r="AC108" s="118"/>
      <c r="AD108" s="116">
        <f>T108</f>
        <v>46081</v>
      </c>
      <c r="AE108" s="321" t="s">
        <v>280</v>
      </c>
      <c r="AF108" s="118"/>
      <c r="AG108" s="116">
        <f>U108</f>
        <v>46173</v>
      </c>
      <c r="AH108" s="321" t="s">
        <v>280</v>
      </c>
      <c r="AI108" s="118"/>
    </row>
    <row r="109" spans="1:35" ht="11" thickBot="1" x14ac:dyDescent="0.25">
      <c r="A109" s="4">
        <v>109</v>
      </c>
      <c r="B109" s="405" t="s">
        <v>519</v>
      </c>
      <c r="C109" s="210">
        <f>'D1. Member Months'!M32</f>
        <v>9850.4936913952151</v>
      </c>
      <c r="D109" s="298">
        <f>C109*($D98+$E98+$F98)</f>
        <v>6332551.3397813225</v>
      </c>
      <c r="E109" s="211">
        <f>C109*$G98</f>
        <v>91927.291830736911</v>
      </c>
      <c r="F109" s="210">
        <f>'D1. Member Months'!N32</f>
        <v>9747.6652874992724</v>
      </c>
      <c r="G109" s="298">
        <f>F109*($D98+$E98+$F98)</f>
        <v>6266446.4147634376</v>
      </c>
      <c r="H109" s="211">
        <f>F109*$G98</f>
        <v>90967.671227996107</v>
      </c>
      <c r="I109" s="210">
        <f>'D1. Member Months'!O32</f>
        <v>9175.0980385332405</v>
      </c>
      <c r="J109" s="298">
        <f>I109*($D98+$E98+$F98)</f>
        <v>5898362.1731865872</v>
      </c>
      <c r="K109" s="211">
        <f>I109*$G98</f>
        <v>85624.329235462166</v>
      </c>
      <c r="L109" s="210">
        <f>'D1. Member Months'!P32</f>
        <v>10121.128458503412</v>
      </c>
      <c r="M109" s="298">
        <f>L109*($D98+$E98+$F98)</f>
        <v>6506533.3360887244</v>
      </c>
      <c r="N109" s="211">
        <f>L109*$G98</f>
        <v>94452.92374269187</v>
      </c>
      <c r="O109" s="374">
        <f>D109+E109+G109+H109+J109+K109+M109+N109</f>
        <v>25366865.47985696</v>
      </c>
      <c r="P109" s="419" t="s">
        <v>271</v>
      </c>
      <c r="Q109" s="405" t="s">
        <v>327</v>
      </c>
      <c r="R109" s="346">
        <f>D109</f>
        <v>6332551.3397813225</v>
      </c>
      <c r="S109" s="346">
        <f>G109</f>
        <v>6266446.4147634376</v>
      </c>
      <c r="T109" s="346">
        <f>J109</f>
        <v>5898362.1731865872</v>
      </c>
      <c r="U109" s="346">
        <f>M109</f>
        <v>6506533.3360887244</v>
      </c>
      <c r="V109" s="419" t="s">
        <v>271</v>
      </c>
      <c r="W109" s="405" t="s">
        <v>327</v>
      </c>
      <c r="X109" s="355"/>
      <c r="Y109" s="356"/>
      <c r="Z109" s="357" t="e">
        <f>Y109/X109</f>
        <v>#DIV/0!</v>
      </c>
      <c r="AA109" s="355"/>
      <c r="AB109" s="356"/>
      <c r="AC109" s="357" t="e">
        <f>AB109/AA109</f>
        <v>#DIV/0!</v>
      </c>
      <c r="AD109" s="355"/>
      <c r="AE109" s="356"/>
      <c r="AF109" s="357" t="e">
        <f>AE109/AD109</f>
        <v>#DIV/0!</v>
      </c>
      <c r="AG109" s="355"/>
      <c r="AH109" s="356"/>
      <c r="AI109" s="357" t="e">
        <f>AH109/AG109</f>
        <v>#DIV/0!</v>
      </c>
    </row>
    <row r="110" spans="1:35" ht="11" thickBot="1" x14ac:dyDescent="0.25">
      <c r="A110" s="4">
        <v>110</v>
      </c>
      <c r="B110" s="405" t="s">
        <v>520</v>
      </c>
      <c r="C110" s="210">
        <f>'D1. Member Months'!M33</f>
        <v>48997.243479873548</v>
      </c>
      <c r="D110" s="298">
        <f>C110*($D99+$E99+$F99)</f>
        <v>89910560.502028391</v>
      </c>
      <c r="E110" s="211">
        <f>C110*$G99</f>
        <v>2054233.3618102681</v>
      </c>
      <c r="F110" s="210">
        <f>'D1. Member Months'!N33</f>
        <v>50031.266836687821</v>
      </c>
      <c r="G110" s="298">
        <f>F110*($D99+$E99+$F99)</f>
        <v>91808006.418992043</v>
      </c>
      <c r="H110" s="211">
        <f>F110*$G99</f>
        <v>2097585.2960334951</v>
      </c>
      <c r="I110" s="210">
        <f>'D1. Member Months'!O33</f>
        <v>51087.111917062473</v>
      </c>
      <c r="J110" s="298">
        <f>I110*($D99+$E99+$F99)</f>
        <v>93745495.47424449</v>
      </c>
      <c r="K110" s="211">
        <f>I110*$G99</f>
        <v>2141852.1166741257</v>
      </c>
      <c r="L110" s="210">
        <f>'D1. Member Months'!P33</f>
        <v>52165.239240207251</v>
      </c>
      <c r="M110" s="298">
        <f>L110*($D99+$E99+$F99)</f>
        <v>95723872.726350844</v>
      </c>
      <c r="N110" s="211">
        <f>L110*$G99</f>
        <v>2187053.1312249326</v>
      </c>
      <c r="O110" s="374">
        <f>D110+E110+G110+H110+J110+K110+M110+N110</f>
        <v>379668659.02735859</v>
      </c>
      <c r="P110" s="419" t="s">
        <v>271</v>
      </c>
      <c r="Q110" s="405" t="s">
        <v>328</v>
      </c>
      <c r="R110" s="346">
        <f>D110</f>
        <v>89910560.502028391</v>
      </c>
      <c r="S110" s="346">
        <f>G110</f>
        <v>91808006.418992043</v>
      </c>
      <c r="T110" s="346">
        <f>J110</f>
        <v>93745495.47424449</v>
      </c>
      <c r="U110" s="346">
        <f>M110</f>
        <v>95723872.726350844</v>
      </c>
      <c r="V110" s="419" t="s">
        <v>271</v>
      </c>
      <c r="W110" s="405" t="s">
        <v>328</v>
      </c>
      <c r="X110" s="355"/>
      <c r="Y110" s="356"/>
      <c r="Z110" s="357" t="e">
        <f>Y110/X110</f>
        <v>#DIV/0!</v>
      </c>
      <c r="AA110" s="355"/>
      <c r="AB110" s="356"/>
      <c r="AC110" s="357" t="e">
        <f>AB110/AA110</f>
        <v>#DIV/0!</v>
      </c>
      <c r="AD110" s="355"/>
      <c r="AE110" s="356"/>
      <c r="AF110" s="357" t="e">
        <f>AE110/AD110</f>
        <v>#DIV/0!</v>
      </c>
      <c r="AG110" s="355"/>
      <c r="AH110" s="356"/>
      <c r="AI110" s="357" t="e">
        <f>AH110/AG110</f>
        <v>#DIV/0!</v>
      </c>
    </row>
    <row r="111" spans="1:35" ht="11" thickBot="1" x14ac:dyDescent="0.25">
      <c r="A111" s="4">
        <v>111</v>
      </c>
      <c r="B111" s="405" t="s">
        <v>521</v>
      </c>
      <c r="C111" s="210">
        <f>'D1. Member Months'!M34</f>
        <v>21239.344470298369</v>
      </c>
      <c r="D111" s="298">
        <f>C111*($D100+$E100+$F100)</f>
        <v>96128440.409084037</v>
      </c>
      <c r="E111" s="211">
        <f>C111*$G100</f>
        <v>886026.50688072504</v>
      </c>
      <c r="F111" s="210">
        <f>'D1. Member Months'!N34</f>
        <v>21331.278928113185</v>
      </c>
      <c r="G111" s="298">
        <f>F111*($D100+$E100+$F100)</f>
        <v>96544532.160971746</v>
      </c>
      <c r="H111" s="211">
        <f>F111*$G100</f>
        <v>889861.67075000284</v>
      </c>
      <c r="I111" s="210">
        <f>'D1. Member Months'!O34</f>
        <v>21578.508078182756</v>
      </c>
      <c r="J111" s="298">
        <f>I111*($D100+$E100+$F100)</f>
        <v>97663481.601858959</v>
      </c>
      <c r="K111" s="211">
        <f>I111*$G100</f>
        <v>900175.15196603385</v>
      </c>
      <c r="L111" s="210">
        <f>'D1. Member Months'!P34</f>
        <v>22067.29833856714</v>
      </c>
      <c r="M111" s="298">
        <f>L111*($D100+$E100+$F100)</f>
        <v>99875727.157912165</v>
      </c>
      <c r="N111" s="211">
        <f>L111*$G100</f>
        <v>920565.66484703764</v>
      </c>
      <c r="O111" s="374">
        <f>D111+E111+G111+H111+J111+K111+M111+N111</f>
        <v>393808810.32427073</v>
      </c>
      <c r="P111" s="419" t="s">
        <v>274</v>
      </c>
      <c r="Q111" s="405" t="s">
        <v>329</v>
      </c>
      <c r="R111" s="346">
        <f>D111</f>
        <v>96128440.409084037</v>
      </c>
      <c r="S111" s="346">
        <f>G111</f>
        <v>96544532.160971746</v>
      </c>
      <c r="T111" s="346">
        <f>J111</f>
        <v>97663481.601858959</v>
      </c>
      <c r="U111" s="346">
        <f>M111</f>
        <v>99875727.157912165</v>
      </c>
      <c r="V111" s="419" t="s">
        <v>274</v>
      </c>
      <c r="W111" s="405" t="s">
        <v>329</v>
      </c>
      <c r="X111" s="355"/>
      <c r="Y111" s="356"/>
      <c r="Z111" s="357" t="e">
        <f>Y111/X111</f>
        <v>#DIV/0!</v>
      </c>
      <c r="AA111" s="355"/>
      <c r="AB111" s="356"/>
      <c r="AC111" s="357" t="e">
        <f>AB111/AA111</f>
        <v>#DIV/0!</v>
      </c>
      <c r="AD111" s="355"/>
      <c r="AE111" s="356"/>
      <c r="AF111" s="357" t="e">
        <f>AE111/AD111</f>
        <v>#DIV/0!</v>
      </c>
      <c r="AG111" s="355"/>
      <c r="AH111" s="356"/>
      <c r="AI111" s="357" t="e">
        <f>AH111/AG111</f>
        <v>#DIV/0!</v>
      </c>
    </row>
    <row r="112" spans="1:35" ht="11" thickBot="1" x14ac:dyDescent="0.25">
      <c r="A112" s="4">
        <v>112</v>
      </c>
      <c r="B112" s="405" t="s">
        <v>546</v>
      </c>
      <c r="C112" s="210">
        <f>'D1. Member Months'!M35</f>
        <v>113727.055783324</v>
      </c>
      <c r="D112" s="299">
        <f>C112*($D101+$E101+$F101)</f>
        <v>41292833.958722033</v>
      </c>
      <c r="E112" s="213">
        <f>C112*$G101</f>
        <v>797285.76192648686</v>
      </c>
      <c r="F112" s="210">
        <f>'D1. Member Months'!N35</f>
        <v>117081.0199446199</v>
      </c>
      <c r="G112" s="299">
        <f>F112*($D101+$E101+$F101)</f>
        <v>42510615.288432702</v>
      </c>
      <c r="H112" s="213">
        <f>F112*$G101</f>
        <v>820798.7936619398</v>
      </c>
      <c r="I112" s="210">
        <f>'D1. Member Months'!O35</f>
        <v>112082.2090150102</v>
      </c>
      <c r="J112" s="299">
        <f>I112*($D101+$E101+$F101)</f>
        <v>40695611.213231057</v>
      </c>
      <c r="K112" s="213">
        <f>I112*$G101</f>
        <v>785754.53129807825</v>
      </c>
      <c r="L112" s="210">
        <f>'D1. Member Months'!P35</f>
        <v>112615.60048806986</v>
      </c>
      <c r="M112" s="299">
        <f>L112*($D101+$E101+$F101)</f>
        <v>40889278.809568144</v>
      </c>
      <c r="N112" s="213">
        <f>L112*$G101</f>
        <v>789493.8827133975</v>
      </c>
      <c r="O112" s="375">
        <f>D112+E112+G112+H112+J112+K112+M112+N112</f>
        <v>168581672.23955384</v>
      </c>
      <c r="P112" s="419" t="s">
        <v>274</v>
      </c>
      <c r="Q112" s="406" t="s">
        <v>330</v>
      </c>
      <c r="R112" s="346">
        <f>D112</f>
        <v>41292833.958722033</v>
      </c>
      <c r="S112" s="346">
        <f>G112</f>
        <v>42510615.288432702</v>
      </c>
      <c r="T112" s="346">
        <f>J112</f>
        <v>40695611.213231057</v>
      </c>
      <c r="U112" s="346">
        <f>M112</f>
        <v>40889278.809568144</v>
      </c>
      <c r="V112" s="419" t="s">
        <v>274</v>
      </c>
      <c r="W112" s="406" t="s">
        <v>330</v>
      </c>
      <c r="X112" s="358"/>
      <c r="Y112" s="359"/>
      <c r="Z112" s="369" t="e">
        <f>Y112/X112</f>
        <v>#DIV/0!</v>
      </c>
      <c r="AA112" s="358"/>
      <c r="AB112" s="359"/>
      <c r="AC112" s="357" t="e">
        <f>AB112/AA112</f>
        <v>#DIV/0!</v>
      </c>
      <c r="AD112" s="358"/>
      <c r="AE112" s="359"/>
      <c r="AF112" s="357" t="e">
        <f>AE112/AD112</f>
        <v>#DIV/0!</v>
      </c>
      <c r="AG112" s="358"/>
      <c r="AH112" s="359"/>
      <c r="AI112" s="357" t="e">
        <f>AH112/AG112</f>
        <v>#DIV/0!</v>
      </c>
    </row>
    <row r="113" spans="1:35" ht="11.5" thickTop="1" thickBot="1" x14ac:dyDescent="0.25">
      <c r="A113" s="4">
        <v>113</v>
      </c>
      <c r="B113" s="124" t="s">
        <v>98</v>
      </c>
      <c r="C113" s="316">
        <f t="shared" ref="C113:O113" si="4">SUM(C109:C112)</f>
        <v>193814.13742489112</v>
      </c>
      <c r="D113" s="317">
        <f t="shared" si="4"/>
        <v>233664386.2096158</v>
      </c>
      <c r="E113" s="318">
        <f t="shared" si="4"/>
        <v>3829472.9224482169</v>
      </c>
      <c r="F113" s="316">
        <f t="shared" si="4"/>
        <v>198191.23099692017</v>
      </c>
      <c r="G113" s="317">
        <f t="shared" si="4"/>
        <v>237129600.28315991</v>
      </c>
      <c r="H113" s="318">
        <f t="shared" si="4"/>
        <v>3899213.4316734341</v>
      </c>
      <c r="I113" s="316">
        <f t="shared" si="4"/>
        <v>193922.92704878867</v>
      </c>
      <c r="J113" s="317">
        <f t="shared" si="4"/>
        <v>238002950.46252111</v>
      </c>
      <c r="K113" s="318">
        <f t="shared" si="4"/>
        <v>3913406.1291736998</v>
      </c>
      <c r="L113" s="316">
        <f t="shared" si="4"/>
        <v>196969.26652534766</v>
      </c>
      <c r="M113" s="317">
        <f t="shared" si="4"/>
        <v>242995412.02991986</v>
      </c>
      <c r="N113" s="318">
        <f t="shared" si="4"/>
        <v>3991565.6025280599</v>
      </c>
      <c r="O113" s="376">
        <f t="shared" si="4"/>
        <v>967426007.07104003</v>
      </c>
      <c r="P113" s="336" t="s">
        <v>273</v>
      </c>
      <c r="Q113" s="336"/>
      <c r="R113" s="346">
        <f>E113</f>
        <v>3829472.9224482169</v>
      </c>
      <c r="S113" s="346">
        <f>H113</f>
        <v>3899213.4316734341</v>
      </c>
      <c r="T113" s="346">
        <f>K113</f>
        <v>3913406.1291736998</v>
      </c>
      <c r="U113" s="346">
        <f>N113</f>
        <v>3991565.6025280599</v>
      </c>
      <c r="V113" s="336" t="s">
        <v>273</v>
      </c>
      <c r="W113" s="351" t="s">
        <v>24</v>
      </c>
      <c r="X113" s="370"/>
      <c r="Y113" s="371"/>
      <c r="Z113" s="372" t="e">
        <f>Y113/X113</f>
        <v>#DIV/0!</v>
      </c>
      <c r="AA113" s="370"/>
      <c r="AB113" s="371"/>
      <c r="AC113" s="372" t="e">
        <f>AB113/AA113</f>
        <v>#DIV/0!</v>
      </c>
      <c r="AD113" s="370"/>
      <c r="AE113" s="371"/>
      <c r="AF113" s="372" t="e">
        <f>AE113/AD113</f>
        <v>#DIV/0!</v>
      </c>
      <c r="AG113" s="370"/>
      <c r="AH113" s="371"/>
      <c r="AI113" s="372" t="e">
        <f>AH113/AG113</f>
        <v>#DIV/0!</v>
      </c>
    </row>
  </sheetData>
  <sheetProtection algorithmName="SHA-512" hashValue="4zhm+WFL6Og5jxC+w2EhFYV0cQYdW2eyB07Xnzhk9ob4rBgSJIc51rt6o89qjDByb5jMS83pEtkhuClSZC5wdw==" saltValue="U7+nG2W+jDtqcgWv5dlBPQ==" spinCount="100000" sheet="1" objects="1" scenarios="1"/>
  <phoneticPr fontId="0" type="noConversion"/>
  <pageMargins left="0.25" right="0.25" top="1.25" bottom="0.75" header="0.75" footer="0.5"/>
  <pageSetup scale="50" fitToWidth="3" orientation="landscape" r:id="rId1"/>
  <headerFooter alignWithMargins="0">
    <oddHeader xml:space="preserve">&amp;L&amp;"Arial,Bold"&amp;12State of &amp;C&amp;"Arial,Bold"&amp;12Appendix &amp;A&amp;R&amp;"Arial,Bold"&amp;12 </oddHeader>
    <oddFooter>&amp;L&amp;8'&amp;A'&amp;C&amp;8&amp;P of &amp;N&amp;R&amp;8&amp;F</oddFooter>
  </headerFooter>
  <rowBreaks count="1" manualBreakCount="1">
    <brk id="59" max="34" man="1"/>
  </rowBreaks>
  <colBreaks count="2" manualBreakCount="2">
    <brk id="15" max="114" man="1"/>
    <brk id="21" max="114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Q118"/>
  <sheetViews>
    <sheetView showGridLines="0" zoomScaleNormal="100" workbookViewId="0"/>
  </sheetViews>
  <sheetFormatPr defaultColWidth="9.1796875" defaultRowHeight="12.5" x14ac:dyDescent="0.25"/>
  <cols>
    <col min="1" max="1" width="6.54296875" style="4" customWidth="1"/>
    <col min="2" max="2" width="50.453125" style="8" customWidth="1"/>
    <col min="3" max="3" width="15.7265625" style="8" customWidth="1"/>
    <col min="4" max="4" width="17" style="8" customWidth="1"/>
    <col min="5" max="5" width="15.7265625" style="8" customWidth="1"/>
    <col min="6" max="6" width="16.81640625" style="8" customWidth="1"/>
    <col min="7" max="8" width="15.7265625" style="8" customWidth="1"/>
    <col min="9" max="9" width="15.453125" style="8" customWidth="1"/>
    <col min="10" max="17" width="15.7265625" style="8" customWidth="1"/>
    <col min="18" max="16384" width="9.1796875" style="7"/>
  </cols>
  <sheetData>
    <row r="1" spans="1:17" s="4" customFormat="1" ht="30" x14ac:dyDescent="0.25">
      <c r="A1" s="16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</row>
    <row r="2" spans="1:17" ht="13" x14ac:dyDescent="0.25">
      <c r="A2" s="4">
        <v>2</v>
      </c>
      <c r="B2" s="225" t="s">
        <v>241</v>
      </c>
      <c r="C2" s="72"/>
      <c r="D2" s="72"/>
      <c r="E2" s="72"/>
      <c r="F2" s="72"/>
      <c r="G2" s="72"/>
      <c r="H2" s="72"/>
      <c r="I2" s="72"/>
      <c r="J2" s="203"/>
      <c r="K2" s="72"/>
      <c r="L2" s="72"/>
      <c r="M2" s="72"/>
      <c r="N2" s="72"/>
      <c r="O2" s="72"/>
      <c r="P2" s="72"/>
      <c r="Q2" s="72"/>
    </row>
    <row r="3" spans="1:17" customFormat="1" x14ac:dyDescent="0.25">
      <c r="A3" s="4">
        <v>3</v>
      </c>
      <c r="D3" t="s">
        <v>400</v>
      </c>
      <c r="E3" t="str">
        <f>'D1. Member Months'!G4</f>
        <v>Minnesota</v>
      </c>
    </row>
    <row r="4" spans="1:17" ht="13" x14ac:dyDescent="0.25">
      <c r="A4" s="4">
        <v>4</v>
      </c>
      <c r="B4" s="225"/>
      <c r="C4" s="72"/>
      <c r="D4" s="72"/>
      <c r="E4" s="72"/>
      <c r="F4" s="72"/>
      <c r="G4" s="72"/>
      <c r="H4" s="72"/>
      <c r="I4" s="72"/>
      <c r="J4" s="203"/>
      <c r="K4" s="72"/>
      <c r="L4" s="72"/>
      <c r="M4" s="72"/>
      <c r="N4" s="72"/>
      <c r="O4" s="72"/>
      <c r="P4" s="72"/>
      <c r="Q4" s="72"/>
    </row>
    <row r="5" spans="1:17" ht="13" x14ac:dyDescent="0.25">
      <c r="A5" s="4">
        <v>5</v>
      </c>
      <c r="B5" s="225"/>
      <c r="C5" s="72"/>
      <c r="D5" s="72"/>
      <c r="E5" s="72"/>
      <c r="F5" s="72"/>
      <c r="G5" s="72"/>
      <c r="H5" s="72"/>
      <c r="I5" s="72"/>
      <c r="J5" s="291" t="s">
        <v>259</v>
      </c>
      <c r="K5" s="292"/>
      <c r="L5" s="292"/>
      <c r="M5" s="292"/>
      <c r="N5" s="293"/>
    </row>
    <row r="6" spans="1:17" ht="13" x14ac:dyDescent="0.25">
      <c r="A6" s="4">
        <v>6</v>
      </c>
      <c r="B6" s="225"/>
      <c r="C6" s="72"/>
      <c r="D6" s="72"/>
      <c r="E6" s="72"/>
      <c r="F6" s="72"/>
      <c r="G6" s="72"/>
      <c r="H6" s="72"/>
      <c r="I6" s="72"/>
      <c r="J6" s="294" t="s">
        <v>258</v>
      </c>
      <c r="K6" s="295"/>
      <c r="L6" s="295"/>
      <c r="M6" s="295"/>
      <c r="N6" s="296"/>
    </row>
    <row r="7" spans="1:17" s="8" customFormat="1" ht="13.5" customHeight="1" thickBot="1" x14ac:dyDescent="0.3">
      <c r="A7" s="4">
        <v>7</v>
      </c>
      <c r="B7" s="80" t="s">
        <v>252</v>
      </c>
      <c r="C7" s="80"/>
      <c r="D7" s="80"/>
      <c r="E7" s="80"/>
      <c r="F7" s="80"/>
      <c r="G7" s="80"/>
      <c r="H7" s="80"/>
      <c r="I7" s="72" t="s">
        <v>163</v>
      </c>
      <c r="J7" s="80"/>
      <c r="K7" s="72"/>
      <c r="L7" s="106"/>
      <c r="M7" s="106"/>
      <c r="N7" s="106"/>
      <c r="O7" s="106"/>
      <c r="P7" s="106"/>
      <c r="Q7" s="80"/>
    </row>
    <row r="8" spans="1:17" s="8" customFormat="1" ht="13.5" customHeight="1" x14ac:dyDescent="0.2">
      <c r="A8" s="4">
        <v>8</v>
      </c>
      <c r="B8" s="107"/>
      <c r="C8" s="128"/>
      <c r="D8" s="129" t="s">
        <v>247</v>
      </c>
      <c r="E8" s="108"/>
      <c r="F8" s="108"/>
      <c r="G8" s="108"/>
      <c r="H8" s="297"/>
      <c r="J8" s="129" t="s">
        <v>523</v>
      </c>
      <c r="K8" s="108"/>
      <c r="L8" s="108"/>
      <c r="M8" s="108"/>
      <c r="N8" s="297"/>
    </row>
    <row r="9" spans="1:17" s="31" customFormat="1" ht="13.5" customHeight="1" x14ac:dyDescent="0.2">
      <c r="A9" s="4">
        <v>9</v>
      </c>
      <c r="B9" s="110" t="s">
        <v>174</v>
      </c>
      <c r="C9" s="114" t="s">
        <v>245</v>
      </c>
      <c r="D9" s="130" t="s">
        <v>246</v>
      </c>
      <c r="E9" s="111" t="s">
        <v>246</v>
      </c>
      <c r="F9" s="111" t="s">
        <v>246</v>
      </c>
      <c r="G9" s="111" t="s">
        <v>246</v>
      </c>
      <c r="H9" s="112" t="s">
        <v>246</v>
      </c>
      <c r="J9" s="130" t="s">
        <v>452</v>
      </c>
      <c r="K9" s="130" t="s">
        <v>452</v>
      </c>
      <c r="L9" s="130" t="s">
        <v>452</v>
      </c>
      <c r="M9" s="130" t="s">
        <v>452</v>
      </c>
      <c r="N9" s="130" t="s">
        <v>452</v>
      </c>
    </row>
    <row r="10" spans="1:17" s="31" customFormat="1" ht="13.5" customHeight="1" x14ac:dyDescent="0.2">
      <c r="A10" s="4">
        <v>10</v>
      </c>
      <c r="B10" s="110" t="s">
        <v>177</v>
      </c>
      <c r="C10" s="114" t="s">
        <v>75</v>
      </c>
      <c r="D10" s="131" t="s">
        <v>78</v>
      </c>
      <c r="E10" s="113" t="s">
        <v>81</v>
      </c>
      <c r="F10" s="113" t="s">
        <v>27</v>
      </c>
      <c r="G10" s="113" t="s">
        <v>82</v>
      </c>
      <c r="H10" s="114" t="s">
        <v>83</v>
      </c>
      <c r="J10" s="131" t="s">
        <v>78</v>
      </c>
      <c r="K10" s="113" t="s">
        <v>81</v>
      </c>
      <c r="L10" s="113" t="s">
        <v>27</v>
      </c>
      <c r="M10" s="113" t="s">
        <v>82</v>
      </c>
      <c r="N10" s="114" t="s">
        <v>83</v>
      </c>
    </row>
    <row r="11" spans="1:17" s="8" customFormat="1" ht="13.5" customHeight="1" x14ac:dyDescent="0.25">
      <c r="A11" s="4">
        <v>11</v>
      </c>
      <c r="B11" s="116" t="s">
        <v>74</v>
      </c>
      <c r="C11" s="118" t="s">
        <v>84</v>
      </c>
      <c r="D11" s="132" t="s">
        <v>87</v>
      </c>
      <c r="E11" s="117" t="s">
        <v>86</v>
      </c>
      <c r="F11" s="117" t="s">
        <v>87</v>
      </c>
      <c r="G11" s="117" t="s">
        <v>86</v>
      </c>
      <c r="H11" s="118" t="s">
        <v>91</v>
      </c>
      <c r="J11" s="132" t="s">
        <v>87</v>
      </c>
      <c r="K11" s="117" t="s">
        <v>86</v>
      </c>
      <c r="L11" s="117" t="s">
        <v>87</v>
      </c>
      <c r="M11" s="117" t="s">
        <v>86</v>
      </c>
      <c r="N11" s="118" t="s">
        <v>91</v>
      </c>
    </row>
    <row r="12" spans="1:17" s="8" customFormat="1" ht="13.5" customHeight="1" thickBot="1" x14ac:dyDescent="0.3">
      <c r="A12" s="4">
        <v>12</v>
      </c>
      <c r="B12" s="405" t="s">
        <v>519</v>
      </c>
      <c r="C12" s="133">
        <f>'D1. Member Months'!C10</f>
        <v>35763</v>
      </c>
      <c r="D12" s="134">
        <f>'D3. Actual Waiver Cost'!K13</f>
        <v>448.85887649246428</v>
      </c>
      <c r="E12" s="134">
        <f>'D3. Actual Waiver Cost'!L13</f>
        <v>0</v>
      </c>
      <c r="F12" s="134">
        <f>'D3. Actual Waiver Cost'!M13</f>
        <v>0</v>
      </c>
      <c r="G12" s="134">
        <f>'D3. Actual Waiver Cost'!N13</f>
        <v>8.2867729217347534</v>
      </c>
      <c r="H12" s="211">
        <f>'D3. Actual Waiver Cost'!O13</f>
        <v>457.145649414199</v>
      </c>
      <c r="I12" s="285"/>
      <c r="J12" s="422">
        <v>483.27098971227076</v>
      </c>
      <c r="K12" s="421">
        <v>0</v>
      </c>
      <c r="L12" s="421">
        <v>0</v>
      </c>
      <c r="M12" s="421">
        <v>2.1215354042464178</v>
      </c>
      <c r="N12" s="421">
        <v>485.39252511651716</v>
      </c>
    </row>
    <row r="13" spans="1:17" s="8" customFormat="1" ht="13.5" customHeight="1" thickTop="1" thickBot="1" x14ac:dyDescent="0.3">
      <c r="A13" s="4">
        <v>13</v>
      </c>
      <c r="B13" s="405" t="s">
        <v>520</v>
      </c>
      <c r="C13" s="133">
        <f>'D1. Member Months'!C11</f>
        <v>116518</v>
      </c>
      <c r="D13" s="134">
        <f>'D3. Actual Waiver Cost'!K14</f>
        <v>1265.3713503493022</v>
      </c>
      <c r="E13" s="134">
        <f>'D3. Actual Waiver Cost'!L14</f>
        <v>0</v>
      </c>
      <c r="F13" s="134">
        <f>'D3. Actual Waiver Cost'!M14</f>
        <v>0</v>
      </c>
      <c r="G13" s="134">
        <f>'D3. Actual Waiver Cost'!N14</f>
        <v>37.228633859146228</v>
      </c>
      <c r="H13" s="211">
        <f>'D3. Actual Waiver Cost'!O14</f>
        <v>1302.5999842084486</v>
      </c>
      <c r="I13" s="285"/>
      <c r="J13" s="422">
        <v>1603.3319858649581</v>
      </c>
      <c r="K13" s="421">
        <v>0</v>
      </c>
      <c r="L13" s="421">
        <v>0</v>
      </c>
      <c r="M13" s="421">
        <v>7.3258151507722484</v>
      </c>
      <c r="N13" s="421">
        <v>1610.6578010157305</v>
      </c>
    </row>
    <row r="14" spans="1:17" s="8" customFormat="1" ht="13.5" customHeight="1" thickTop="1" thickBot="1" x14ac:dyDescent="0.3">
      <c r="A14" s="4">
        <v>14</v>
      </c>
      <c r="B14" s="405" t="s">
        <v>521</v>
      </c>
      <c r="C14" s="133">
        <f>'D1. Member Months'!C12</f>
        <v>73249</v>
      </c>
      <c r="D14" s="134">
        <f>'D3. Actual Waiver Cost'!K15</f>
        <v>3110.1511146909857</v>
      </c>
      <c r="E14" s="134">
        <f>'D3. Actual Waiver Cost'!L15</f>
        <v>0</v>
      </c>
      <c r="F14" s="134">
        <f>'D3. Actual Waiver Cost'!M15</f>
        <v>0</v>
      </c>
      <c r="G14" s="134">
        <f>'D3. Actual Waiver Cost'!N15</f>
        <v>37.042865568130622</v>
      </c>
      <c r="H14" s="211">
        <f>'D3. Actual Waiver Cost'!O15</f>
        <v>3147.1939802591164</v>
      </c>
      <c r="I14" s="285"/>
      <c r="J14" s="422">
        <v>3257.5144966637404</v>
      </c>
      <c r="K14" s="421">
        <v>0</v>
      </c>
      <c r="L14" s="421">
        <v>0</v>
      </c>
      <c r="M14" s="421">
        <v>16.951418289585096</v>
      </c>
      <c r="N14" s="421">
        <v>3274.4659149533254</v>
      </c>
    </row>
    <row r="15" spans="1:17" s="8" customFormat="1" ht="13.5" customHeight="1" thickTop="1" thickBot="1" x14ac:dyDescent="0.3">
      <c r="A15" s="4">
        <v>15</v>
      </c>
      <c r="B15" s="405" t="s">
        <v>546</v>
      </c>
      <c r="C15" s="313">
        <f>'D1. Member Months'!C13</f>
        <v>366434</v>
      </c>
      <c r="D15" s="134">
        <f>'D3. Actual Waiver Cost'!K16</f>
        <v>316.22659742272822</v>
      </c>
      <c r="E15" s="134">
        <f>'D3. Actual Waiver Cost'!L16</f>
        <v>0</v>
      </c>
      <c r="F15" s="134">
        <f>'D3. Actual Waiver Cost'!M16</f>
        <v>0</v>
      </c>
      <c r="G15" s="134">
        <f>'D3. Actual Waiver Cost'!N16</f>
        <v>6.2251408439173215</v>
      </c>
      <c r="H15" s="322">
        <f>'D3. Actual Waiver Cost'!O16</f>
        <v>322.45173826664558</v>
      </c>
      <c r="I15" s="285"/>
      <c r="J15" s="422">
        <v>441.2951233790385</v>
      </c>
      <c r="K15" s="423">
        <v>0</v>
      </c>
      <c r="L15" s="423">
        <v>0</v>
      </c>
      <c r="M15" s="423">
        <v>3.0221762428398016</v>
      </c>
      <c r="N15" s="424">
        <v>444.31729962187831</v>
      </c>
    </row>
    <row r="16" spans="1:17" s="8" customFormat="1" ht="13.5" customHeight="1" thickTop="1" thickBot="1" x14ac:dyDescent="0.3">
      <c r="A16" s="4">
        <v>16</v>
      </c>
      <c r="B16" s="135" t="s">
        <v>98</v>
      </c>
      <c r="C16" s="284">
        <f>'D1. Member Months'!C14</f>
        <v>591964</v>
      </c>
      <c r="D16" s="142"/>
      <c r="E16" s="142"/>
      <c r="F16" s="142"/>
      <c r="G16" s="142"/>
      <c r="H16" s="142"/>
      <c r="J16" s="142"/>
      <c r="K16" s="142"/>
      <c r="L16" s="142"/>
      <c r="M16" s="142"/>
      <c r="N16" s="142"/>
    </row>
    <row r="17" spans="1:17" s="8" customFormat="1" ht="13.5" customHeight="1" thickTop="1" thickBot="1" x14ac:dyDescent="0.3">
      <c r="A17" s="4">
        <v>17</v>
      </c>
      <c r="B17" s="135" t="s">
        <v>322</v>
      </c>
      <c r="C17" s="136"/>
      <c r="D17" s="140">
        <f>SUMPRODUCT(D12:D15,$C$12:$C$15)/$C$16</f>
        <v>856.77966058746813</v>
      </c>
      <c r="E17" s="140">
        <f>SUMPRODUCT(E12:E15,$C$12:$C$15)/$C$16</f>
        <v>0</v>
      </c>
      <c r="F17" s="140">
        <f>SUMPRODUCT(F12:F15,$C$12:$C$15)/$C$16</f>
        <v>0</v>
      </c>
      <c r="G17" s="140">
        <f>SUMPRODUCT(G12:G15,$C$12:$C$15)/$C$16</f>
        <v>16.265553209316781</v>
      </c>
      <c r="H17" s="140">
        <f>SUMPRODUCT(H12:H15,$C$12:$C$15)/$C$16</f>
        <v>873.04521379678499</v>
      </c>
      <c r="J17" s="140">
        <f>SUMPRODUCT(J12:J15,$C$12:$C$15)/$C$16</f>
        <v>1021.034173261364</v>
      </c>
      <c r="K17" s="140">
        <f>SUMPRODUCT(K12:K15,$C$12:$C$15)/$C$16</f>
        <v>0</v>
      </c>
      <c r="L17" s="140">
        <f>SUMPRODUCT(L12:L15,$C$12:$C$15)/$C$16</f>
        <v>0</v>
      </c>
      <c r="M17" s="140">
        <f>SUMPRODUCT(M12:M15,$C$12:$C$15)/$C$16</f>
        <v>5.5384522843658122</v>
      </c>
      <c r="N17" s="140">
        <f>SUMPRODUCT(N12:N15,$C$12:$C$15)/$C$16</f>
        <v>1026.5726255457298</v>
      </c>
    </row>
    <row r="18" spans="1:17" s="8" customFormat="1" ht="13.5" customHeight="1" thickTop="1" thickBot="1" x14ac:dyDescent="0.3">
      <c r="A18" s="4">
        <v>18</v>
      </c>
      <c r="B18" s="141" t="s">
        <v>250</v>
      </c>
      <c r="C18" s="142"/>
      <c r="D18" s="142"/>
      <c r="E18" s="142"/>
      <c r="F18" s="142"/>
      <c r="G18" s="142"/>
      <c r="H18" s="143">
        <f>H17*C16</f>
        <v>516811336.94000006</v>
      </c>
      <c r="J18" s="141" t="s">
        <v>525</v>
      </c>
      <c r="K18" s="142"/>
      <c r="L18" s="142"/>
      <c r="M18" s="142"/>
      <c r="N18" s="143">
        <f>N17*C16</f>
        <v>607694037.70855236</v>
      </c>
    </row>
    <row r="19" spans="1:17" s="8" customFormat="1" ht="13.5" customHeight="1" thickTop="1" thickBot="1" x14ac:dyDescent="0.3">
      <c r="A19" s="4">
        <v>19</v>
      </c>
      <c r="B19" s="80"/>
      <c r="C19" s="80"/>
      <c r="D19" s="80"/>
      <c r="E19" s="80"/>
      <c r="F19" s="80"/>
      <c r="G19" s="80"/>
      <c r="H19" s="80"/>
      <c r="I19" s="72"/>
      <c r="J19" s="80"/>
      <c r="K19" s="80"/>
      <c r="L19" s="80"/>
      <c r="M19" s="80"/>
      <c r="N19" s="80"/>
    </row>
    <row r="20" spans="1:17" s="8" customFormat="1" ht="13.5" customHeight="1" x14ac:dyDescent="0.2">
      <c r="A20" s="4">
        <v>20</v>
      </c>
      <c r="B20" s="107"/>
      <c r="C20" s="128"/>
      <c r="D20" s="129" t="s">
        <v>381</v>
      </c>
      <c r="E20" s="108"/>
      <c r="F20" s="108"/>
      <c r="G20" s="108"/>
      <c r="H20" s="297"/>
      <c r="I20" s="231"/>
      <c r="J20" s="129" t="s">
        <v>524</v>
      </c>
      <c r="K20" s="108"/>
      <c r="L20" s="108"/>
      <c r="M20" s="108"/>
      <c r="N20" s="297"/>
      <c r="O20" s="80"/>
      <c r="P20" s="80"/>
      <c r="Q20" s="80"/>
    </row>
    <row r="21" spans="1:17" ht="13.5" customHeight="1" x14ac:dyDescent="0.25">
      <c r="A21" s="4">
        <v>21</v>
      </c>
      <c r="B21" s="110" t="s">
        <v>174</v>
      </c>
      <c r="C21" s="114" t="s">
        <v>242</v>
      </c>
      <c r="D21" s="130" t="s">
        <v>243</v>
      </c>
      <c r="E21" s="111" t="s">
        <v>243</v>
      </c>
      <c r="F21" s="111" t="s">
        <v>243</v>
      </c>
      <c r="G21" s="111" t="s">
        <v>243</v>
      </c>
      <c r="H21" s="112" t="s">
        <v>243</v>
      </c>
      <c r="I21" s="232" t="s">
        <v>185</v>
      </c>
      <c r="J21" s="130" t="s">
        <v>506</v>
      </c>
      <c r="K21" s="130" t="s">
        <v>506</v>
      </c>
      <c r="L21" s="130" t="s">
        <v>506</v>
      </c>
      <c r="M21" s="130" t="s">
        <v>506</v>
      </c>
      <c r="N21" s="130" t="s">
        <v>506</v>
      </c>
    </row>
    <row r="22" spans="1:17" s="31" customFormat="1" ht="13.5" customHeight="1" x14ac:dyDescent="0.2">
      <c r="A22" s="4">
        <v>22</v>
      </c>
      <c r="B22" s="110" t="s">
        <v>177</v>
      </c>
      <c r="C22" s="114" t="s">
        <v>75</v>
      </c>
      <c r="D22" s="131" t="s">
        <v>78</v>
      </c>
      <c r="E22" s="113" t="s">
        <v>81</v>
      </c>
      <c r="F22" s="113" t="s">
        <v>27</v>
      </c>
      <c r="G22" s="113" t="s">
        <v>82</v>
      </c>
      <c r="H22" s="114" t="s">
        <v>83</v>
      </c>
      <c r="I22" s="324" t="s">
        <v>255</v>
      </c>
      <c r="J22" s="131" t="s">
        <v>78</v>
      </c>
      <c r="K22" s="113" t="s">
        <v>81</v>
      </c>
      <c r="L22" s="113" t="s">
        <v>27</v>
      </c>
      <c r="M22" s="113" t="s">
        <v>82</v>
      </c>
      <c r="N22" s="114" t="s">
        <v>83</v>
      </c>
    </row>
    <row r="23" spans="1:17" s="31" customFormat="1" ht="13.5" customHeight="1" x14ac:dyDescent="0.2">
      <c r="A23" s="4">
        <v>23</v>
      </c>
      <c r="B23" s="116" t="s">
        <v>74</v>
      </c>
      <c r="C23" s="118" t="s">
        <v>84</v>
      </c>
      <c r="D23" s="132" t="s">
        <v>87</v>
      </c>
      <c r="E23" s="117" t="s">
        <v>86</v>
      </c>
      <c r="F23" s="117" t="s">
        <v>87</v>
      </c>
      <c r="G23" s="117" t="s">
        <v>86</v>
      </c>
      <c r="H23" s="118" t="s">
        <v>91</v>
      </c>
      <c r="I23" s="325" t="s">
        <v>186</v>
      </c>
      <c r="J23" s="132" t="s">
        <v>87</v>
      </c>
      <c r="K23" s="117" t="s">
        <v>86</v>
      </c>
      <c r="L23" s="117" t="s">
        <v>87</v>
      </c>
      <c r="M23" s="117" t="s">
        <v>86</v>
      </c>
      <c r="N23" s="118" t="s">
        <v>91</v>
      </c>
    </row>
    <row r="24" spans="1:17" ht="13.5" customHeight="1" thickBot="1" x14ac:dyDescent="0.3">
      <c r="A24" s="4">
        <v>24</v>
      </c>
      <c r="B24" s="405" t="s">
        <v>519</v>
      </c>
      <c r="C24" s="133">
        <f>'D1. Member Months'!D10</f>
        <v>19424</v>
      </c>
      <c r="D24" s="134">
        <f>'D3. Actual Waiver Cost'!K26</f>
        <v>479.43140469432632</v>
      </c>
      <c r="E24" s="120">
        <f>'D3. Actual Waiver Cost'!L26</f>
        <v>0</v>
      </c>
      <c r="F24" s="120">
        <f>'D3. Actual Waiver Cost'!M26</f>
        <v>0</v>
      </c>
      <c r="G24" s="120">
        <f>'D3. Actual Waiver Cost'!N26</f>
        <v>0</v>
      </c>
      <c r="H24" s="286">
        <f>'D3. Actual Waiver Cost'!O26</f>
        <v>479.43140469432632</v>
      </c>
      <c r="I24" s="462">
        <f>(H24/H12)-1</f>
        <v>4.8749791906988582E-2</v>
      </c>
      <c r="J24" s="422">
        <v>506.95126820817205</v>
      </c>
      <c r="K24" s="425">
        <v>0</v>
      </c>
      <c r="L24" s="425">
        <v>0</v>
      </c>
      <c r="M24" s="426">
        <v>2.1215354042464178</v>
      </c>
      <c r="N24" s="426">
        <v>509.07280361241845</v>
      </c>
    </row>
    <row r="25" spans="1:17" ht="13.5" customHeight="1" thickTop="1" thickBot="1" x14ac:dyDescent="0.3">
      <c r="A25" s="4">
        <v>25</v>
      </c>
      <c r="B25" s="405" t="s">
        <v>520</v>
      </c>
      <c r="C25" s="45">
        <f>'D1. Member Months'!D11</f>
        <v>68089</v>
      </c>
      <c r="D25" s="287">
        <f>'D3. Actual Waiver Cost'!K27</f>
        <v>1384.0588758383465</v>
      </c>
      <c r="E25" s="49">
        <f>'D3. Actual Waiver Cost'!L27</f>
        <v>0</v>
      </c>
      <c r="F25" s="49">
        <f>'D3. Actual Waiver Cost'!M27</f>
        <v>0</v>
      </c>
      <c r="G25" s="49">
        <f>'D3. Actual Waiver Cost'!N27</f>
        <v>0</v>
      </c>
      <c r="H25" s="50">
        <f>'D3. Actual Waiver Cost'!O27</f>
        <v>1384.0588758383465</v>
      </c>
      <c r="I25" s="462">
        <f>(H25/H13)-1</f>
        <v>6.2535615397998123E-2</v>
      </c>
      <c r="J25" s="422">
        <v>1681.8952531723412</v>
      </c>
      <c r="K25" s="426">
        <v>0</v>
      </c>
      <c r="L25" s="426">
        <v>0</v>
      </c>
      <c r="M25" s="426">
        <v>7.3258151507722484</v>
      </c>
      <c r="N25" s="426">
        <v>1689.2210683231135</v>
      </c>
    </row>
    <row r="26" spans="1:17" ht="13.5" customHeight="1" thickTop="1" thickBot="1" x14ac:dyDescent="0.3">
      <c r="A26" s="4">
        <v>26</v>
      </c>
      <c r="B26" s="405" t="s">
        <v>521</v>
      </c>
      <c r="C26" s="45">
        <f>'D1. Member Months'!D12</f>
        <v>40023</v>
      </c>
      <c r="D26" s="287">
        <f>'D3. Actual Waiver Cost'!K28</f>
        <v>3400.1135271892636</v>
      </c>
      <c r="E26" s="49">
        <f>'D3. Actual Waiver Cost'!L28</f>
        <v>0</v>
      </c>
      <c r="F26" s="49">
        <f>'D3. Actual Waiver Cost'!M28</f>
        <v>0</v>
      </c>
      <c r="G26" s="49">
        <f>'D3. Actual Waiver Cost'!N28</f>
        <v>0</v>
      </c>
      <c r="H26" s="50">
        <f>'D3. Actual Waiver Cost'!O28</f>
        <v>3400.1135271892636</v>
      </c>
      <c r="I26" s="462">
        <f>(H26/H14)-1</f>
        <v>8.0363507466204354E-2</v>
      </c>
      <c r="J26" s="422">
        <v>3417.1327070002635</v>
      </c>
      <c r="K26" s="426">
        <v>0</v>
      </c>
      <c r="L26" s="426">
        <v>0</v>
      </c>
      <c r="M26" s="426">
        <v>16.951418289585096</v>
      </c>
      <c r="N26" s="426">
        <v>3434.0841252898485</v>
      </c>
    </row>
    <row r="27" spans="1:17" ht="13.5" customHeight="1" thickTop="1" thickBot="1" x14ac:dyDescent="0.3">
      <c r="A27" s="4">
        <v>27</v>
      </c>
      <c r="B27" s="405" t="s">
        <v>546</v>
      </c>
      <c r="C27" s="54">
        <f>'D1. Member Months'!D13</f>
        <v>219495</v>
      </c>
      <c r="D27" s="288">
        <f>'D3. Actual Waiver Cost'!K29</f>
        <v>354.5735195374362</v>
      </c>
      <c r="E27" s="121">
        <f>'D3. Actual Waiver Cost'!L29</f>
        <v>0</v>
      </c>
      <c r="F27" s="121">
        <f>'D3. Actual Waiver Cost'!M29</f>
        <v>0</v>
      </c>
      <c r="G27" s="121">
        <f>'D3. Actual Waiver Cost'!N29</f>
        <v>0</v>
      </c>
      <c r="H27" s="289">
        <f>'D3. Actual Waiver Cost'!O29</f>
        <v>354.5735195374362</v>
      </c>
      <c r="I27" s="462">
        <f>(H27/H15)-1</f>
        <v>9.9617330157569572E-2</v>
      </c>
      <c r="J27" s="427">
        <v>463.58052710967996</v>
      </c>
      <c r="K27" s="428">
        <v>0</v>
      </c>
      <c r="L27" s="428">
        <v>0</v>
      </c>
      <c r="M27" s="428">
        <v>3.0826197676965976</v>
      </c>
      <c r="N27" s="429">
        <v>466.66314687737656</v>
      </c>
    </row>
    <row r="28" spans="1:17" ht="13.5" customHeight="1" thickTop="1" thickBot="1" x14ac:dyDescent="0.3">
      <c r="A28" s="4">
        <v>28</v>
      </c>
      <c r="B28" s="135" t="s">
        <v>98</v>
      </c>
      <c r="C28" s="136">
        <f>SUM(C24:C27)</f>
        <v>347031</v>
      </c>
      <c r="D28" s="142"/>
      <c r="E28" s="142"/>
      <c r="F28" s="142"/>
      <c r="G28" s="142"/>
      <c r="H28" s="142"/>
      <c r="I28" s="463" t="s">
        <v>163</v>
      </c>
      <c r="J28" s="142"/>
      <c r="K28" s="142"/>
      <c r="L28" s="142"/>
      <c r="M28" s="142"/>
      <c r="N28" s="142"/>
    </row>
    <row r="29" spans="1:17" ht="13.5" customHeight="1" thickTop="1" thickBot="1" x14ac:dyDescent="0.3">
      <c r="A29" s="4">
        <v>29</v>
      </c>
      <c r="B29" s="135" t="s">
        <v>310</v>
      </c>
      <c r="C29" s="136"/>
      <c r="D29" s="140">
        <f>SUMPRODUCT(D24:D27,$C$12:$C$15)/$C$16</f>
        <v>941.60520949294698</v>
      </c>
      <c r="E29" s="140">
        <f>SUMPRODUCT(E24:E27,$C$12:$C$15)/$C$16</f>
        <v>0</v>
      </c>
      <c r="F29" s="140">
        <f>SUMPRODUCT(F24:F27,$C$12:$C$15)/$C$16</f>
        <v>0</v>
      </c>
      <c r="G29" s="140">
        <f>SUMPRODUCT(G24:G27,$C$12:$C$15)/$C$16</f>
        <v>0</v>
      </c>
      <c r="H29" s="140">
        <f>SUMPRODUCT(H24:H27,$C$12:$C$15)/$C$16</f>
        <v>941.60520949294698</v>
      </c>
      <c r="I29" s="464">
        <f>(H29/H17)-1</f>
        <v>7.8529719438013457E-2</v>
      </c>
      <c r="J29" s="140"/>
      <c r="K29" s="140"/>
      <c r="L29" s="140"/>
      <c r="M29" s="140"/>
      <c r="N29" s="140"/>
    </row>
    <row r="30" spans="1:17" ht="13.5" customHeight="1" thickTop="1" thickBot="1" x14ac:dyDescent="0.3">
      <c r="A30" s="4">
        <v>30</v>
      </c>
      <c r="B30" s="135" t="s">
        <v>527</v>
      </c>
      <c r="C30" s="136"/>
      <c r="D30" s="140">
        <f>SUMPRODUCT(D24:D27,$C$24:$C$27)/$C$28</f>
        <v>914.79296884516134</v>
      </c>
      <c r="E30" s="140">
        <f>SUMPRODUCT(E24:E27,$C$24:$C$27)/$C$28</f>
        <v>0</v>
      </c>
      <c r="F30" s="140">
        <f>SUMPRODUCT(F24:F27,$C$24:$C$27)/$C$28</f>
        <v>0</v>
      </c>
      <c r="G30" s="140">
        <f>SUMPRODUCT(G24:G27,$C$24:$C$27)/$C$28</f>
        <v>0</v>
      </c>
      <c r="H30" s="140">
        <f>SUMPRODUCT(H24:H27,$C$24:$C$27)/$C$28</f>
        <v>914.79296884516134</v>
      </c>
      <c r="I30" s="465">
        <f>(H30/H17)-1</f>
        <v>4.7818548671516803E-2</v>
      </c>
      <c r="J30" s="140">
        <f>SUMPRODUCT(J24:J27,$C$24:$C$27)/$C$28</f>
        <v>1045.679197123997</v>
      </c>
      <c r="K30" s="140">
        <f>SUMPRODUCT(K24:K27,$C$24:$C$27)/$C$28</f>
        <v>0</v>
      </c>
      <c r="L30" s="140">
        <f>SUMPRODUCT(L24:L27,$C$24:$C$27)/$C$28</f>
        <v>0</v>
      </c>
      <c r="M30" s="140">
        <f>SUMPRODUCT(M24:M27,$C$24:$C$27)/$C$28</f>
        <v>5.4608446265827641</v>
      </c>
      <c r="N30" s="140">
        <f>SUMPRODUCT(N24:N27,$C$24:$C$27)/$C$28</f>
        <v>1051.1400417505799</v>
      </c>
    </row>
    <row r="31" spans="1:17" ht="13.5" customHeight="1" thickTop="1" thickBot="1" x14ac:dyDescent="0.3">
      <c r="A31" s="4">
        <v>31</v>
      </c>
      <c r="B31" s="141" t="s">
        <v>251</v>
      </c>
      <c r="C31" s="142"/>
      <c r="D31" s="142"/>
      <c r="E31" s="142"/>
      <c r="F31" s="142"/>
      <c r="G31" s="142"/>
      <c r="H31" s="143">
        <f>H30*C28</f>
        <v>317461518.7713052</v>
      </c>
      <c r="I31" s="323"/>
      <c r="J31" s="141" t="s">
        <v>526</v>
      </c>
      <c r="K31" s="142"/>
      <c r="L31" s="142"/>
      <c r="M31" s="142"/>
      <c r="N31" s="143">
        <f>N30*C28</f>
        <v>364778179.82874548</v>
      </c>
    </row>
    <row r="32" spans="1:17" ht="13.5" customHeight="1" thickTop="1" thickBot="1" x14ac:dyDescent="0.3">
      <c r="A32" s="4">
        <v>32</v>
      </c>
      <c r="B32" s="80"/>
      <c r="H32" s="283"/>
      <c r="N32" s="283"/>
    </row>
    <row r="33" spans="1:14" ht="13.5" customHeight="1" thickTop="1" thickBot="1" x14ac:dyDescent="0.3">
      <c r="A33" s="4">
        <v>33</v>
      </c>
      <c r="B33" s="141" t="s">
        <v>295</v>
      </c>
      <c r="C33" s="142"/>
      <c r="D33" s="142"/>
      <c r="E33" s="142"/>
      <c r="F33" s="142"/>
      <c r="G33" s="142"/>
      <c r="H33" s="143">
        <f>H18+H31</f>
        <v>834272855.71130526</v>
      </c>
      <c r="J33" s="142"/>
      <c r="K33" s="142"/>
      <c r="L33" s="142"/>
      <c r="M33" s="142"/>
      <c r="N33" s="143">
        <f>N31+N18</f>
        <v>972472217.53729784</v>
      </c>
    </row>
    <row r="34" spans="1:14" ht="13.5" customHeight="1" thickTop="1" thickBot="1" x14ac:dyDescent="0.3">
      <c r="A34" s="4">
        <v>34</v>
      </c>
      <c r="B34" s="141" t="s">
        <v>268</v>
      </c>
      <c r="C34" s="142"/>
      <c r="D34" s="142"/>
      <c r="E34" s="142"/>
      <c r="F34" s="142"/>
      <c r="G34" s="142"/>
      <c r="H34" s="143">
        <f>N33-H33</f>
        <v>138199361.82599258</v>
      </c>
      <c r="I34" s="302"/>
      <c r="N34" s="283"/>
    </row>
    <row r="35" spans="1:14" ht="13.5" customHeight="1" thickTop="1" x14ac:dyDescent="0.2">
      <c r="A35" s="4">
        <v>35</v>
      </c>
      <c r="B35" s="80"/>
      <c r="H35" s="283"/>
      <c r="J35" s="506"/>
      <c r="K35" s="506"/>
      <c r="L35" s="506"/>
      <c r="M35" s="506"/>
      <c r="N35" s="507"/>
    </row>
    <row r="36" spans="1:14" ht="13.5" customHeight="1" thickBot="1" x14ac:dyDescent="0.3">
      <c r="A36" s="4">
        <v>36</v>
      </c>
      <c r="B36" s="125" t="s">
        <v>253</v>
      </c>
      <c r="C36" s="126"/>
      <c r="D36" s="147"/>
      <c r="E36" s="147"/>
      <c r="F36" s="147"/>
      <c r="G36" s="147"/>
      <c r="H36" s="147"/>
      <c r="I36" s="148"/>
      <c r="J36" s="508"/>
      <c r="K36" s="508"/>
      <c r="L36" s="508"/>
      <c r="M36" s="508"/>
      <c r="N36" s="508"/>
    </row>
    <row r="37" spans="1:14" ht="13.5" customHeight="1" x14ac:dyDescent="0.25">
      <c r="A37" s="4">
        <v>37</v>
      </c>
      <c r="B37" s="107"/>
      <c r="C37" s="217" t="s">
        <v>139</v>
      </c>
      <c r="D37" s="108" t="s">
        <v>206</v>
      </c>
      <c r="E37" s="108"/>
      <c r="F37" s="108"/>
      <c r="G37" s="108"/>
      <c r="H37" s="108"/>
      <c r="I37" s="514"/>
      <c r="J37" s="508"/>
      <c r="K37" s="508"/>
      <c r="L37" s="508"/>
      <c r="M37" s="508"/>
      <c r="N37" s="508"/>
    </row>
    <row r="38" spans="1:14" ht="13.5" customHeight="1" x14ac:dyDescent="0.25">
      <c r="A38" s="4">
        <v>38</v>
      </c>
      <c r="B38" s="110" t="s">
        <v>174</v>
      </c>
      <c r="C38" s="218" t="s">
        <v>175</v>
      </c>
      <c r="D38" s="276" t="s">
        <v>161</v>
      </c>
      <c r="E38" s="111" t="s">
        <v>161</v>
      </c>
      <c r="F38" s="111" t="s">
        <v>161</v>
      </c>
      <c r="G38" s="111" t="s">
        <v>161</v>
      </c>
      <c r="H38" s="277" t="s">
        <v>161</v>
      </c>
      <c r="I38" s="515" t="s">
        <v>185</v>
      </c>
      <c r="J38" s="508"/>
      <c r="K38" s="508"/>
      <c r="L38" s="508"/>
      <c r="M38" s="508"/>
      <c r="N38" s="508"/>
    </row>
    <row r="39" spans="1:14" ht="13.5" customHeight="1" x14ac:dyDescent="0.25">
      <c r="A39" s="4">
        <v>39</v>
      </c>
      <c r="B39" s="110" t="s">
        <v>177</v>
      </c>
      <c r="C39" s="219" t="s">
        <v>140</v>
      </c>
      <c r="D39" s="278" t="s">
        <v>136</v>
      </c>
      <c r="E39" s="113" t="s">
        <v>81</v>
      </c>
      <c r="F39" s="113" t="s">
        <v>137</v>
      </c>
      <c r="G39" s="113" t="s">
        <v>82</v>
      </c>
      <c r="H39" s="279" t="s">
        <v>139</v>
      </c>
      <c r="I39" s="516" t="s">
        <v>244</v>
      </c>
      <c r="J39" s="509"/>
      <c r="K39" s="509"/>
      <c r="L39" s="509"/>
      <c r="M39" s="509"/>
      <c r="N39" s="509"/>
    </row>
    <row r="40" spans="1:14" ht="13.5" customHeight="1" x14ac:dyDescent="0.25">
      <c r="A40" s="4">
        <v>40</v>
      </c>
      <c r="B40" s="116" t="s">
        <v>74</v>
      </c>
      <c r="C40" s="220" t="s">
        <v>18</v>
      </c>
      <c r="D40" s="280" t="s">
        <v>148</v>
      </c>
      <c r="E40" s="117" t="s">
        <v>148</v>
      </c>
      <c r="F40" s="117" t="s">
        <v>148</v>
      </c>
      <c r="G40" s="117" t="s">
        <v>148</v>
      </c>
      <c r="H40" s="281" t="s">
        <v>91</v>
      </c>
      <c r="I40" s="517" t="s">
        <v>186</v>
      </c>
      <c r="J40" s="509"/>
      <c r="K40" s="509"/>
      <c r="L40" s="509"/>
      <c r="M40" s="509"/>
      <c r="N40" s="509"/>
    </row>
    <row r="41" spans="1:14" ht="13.5" customHeight="1" x14ac:dyDescent="0.25">
      <c r="A41" s="4">
        <v>41</v>
      </c>
      <c r="B41" s="405" t="s">
        <v>519</v>
      </c>
      <c r="C41" s="221">
        <f>'D1. Member Months'!I10</f>
        <v>34338.599307022603</v>
      </c>
      <c r="D41" s="226">
        <f>'D5. Waiver Cost Projection'!D30</f>
        <v>505.95681821996482</v>
      </c>
      <c r="E41" s="49">
        <f>'D5. Waiver Cost Projection'!E30</f>
        <v>0</v>
      </c>
      <c r="F41" s="49">
        <f>'D5. Waiver Cost Projection'!F30</f>
        <v>0</v>
      </c>
      <c r="G41" s="49">
        <f>'D5. Waiver Cost Projection'!G30</f>
        <v>8.6215585477728371</v>
      </c>
      <c r="H41" s="229">
        <f>'D5. Waiver Cost Projection'!H30</f>
        <v>514.57837676773761</v>
      </c>
      <c r="I41" s="518">
        <f>(H41/H24)-1</f>
        <v>7.3309699217180224E-2</v>
      </c>
      <c r="J41" s="509"/>
      <c r="K41" s="509"/>
      <c r="L41" s="509"/>
      <c r="M41" s="509"/>
      <c r="N41" s="509"/>
    </row>
    <row r="42" spans="1:14" ht="13.5" customHeight="1" x14ac:dyDescent="0.25">
      <c r="A42" s="4">
        <v>42</v>
      </c>
      <c r="B42" s="405" t="s">
        <v>520</v>
      </c>
      <c r="C42" s="221">
        <f>'D1. Member Months'!I11</f>
        <v>144822.87496359757</v>
      </c>
      <c r="D42" s="226">
        <f>'D5. Waiver Cost Projection'!D31</f>
        <v>1426.3353045223378</v>
      </c>
      <c r="E42" s="49">
        <f>'D5. Waiver Cost Projection'!E31</f>
        <v>0</v>
      </c>
      <c r="F42" s="49">
        <f>'D5. Waiver Cost Projection'!F31</f>
        <v>0</v>
      </c>
      <c r="G42" s="49">
        <f>'D5. Waiver Cost Projection'!G31</f>
        <v>38.732670667055736</v>
      </c>
      <c r="H42" s="229">
        <f>'D5. Waiver Cost Projection'!H31</f>
        <v>1465.0679751893936</v>
      </c>
      <c r="I42" s="519">
        <f>(H42/H25)-1</f>
        <v>5.8530096345777549E-2</v>
      </c>
      <c r="J42" s="509"/>
      <c r="K42" s="509"/>
      <c r="L42" s="509"/>
      <c r="M42" s="509"/>
      <c r="N42" s="509"/>
    </row>
    <row r="43" spans="1:14" ht="13.5" customHeight="1" x14ac:dyDescent="0.25">
      <c r="A43" s="4">
        <v>43</v>
      </c>
      <c r="B43" s="405" t="s">
        <v>521</v>
      </c>
      <c r="C43" s="221">
        <f>'D1. Member Months'!I12</f>
        <v>72475.756199655531</v>
      </c>
      <c r="D43" s="226">
        <f>'D5. Waiver Cost Projection'!D32</f>
        <v>3505.7837654208597</v>
      </c>
      <c r="E43" s="49">
        <f>'D5. Waiver Cost Projection'!E32</f>
        <v>0</v>
      </c>
      <c r="F43" s="49">
        <f>'D5. Waiver Cost Projection'!F32</f>
        <v>0</v>
      </c>
      <c r="G43" s="49">
        <f>'D5. Waiver Cost Projection'!G32</f>
        <v>38.539397337083102</v>
      </c>
      <c r="H43" s="229">
        <f>'D5. Waiver Cost Projection'!H32</f>
        <v>3544.323162757943</v>
      </c>
      <c r="I43" s="519">
        <f>(H43/H26)-1</f>
        <v>4.2413182505671054E-2</v>
      </c>
      <c r="J43" s="501"/>
      <c r="K43" s="501"/>
      <c r="L43" s="501"/>
      <c r="M43" s="501"/>
      <c r="N43" s="501"/>
    </row>
    <row r="44" spans="1:14" ht="13.5" customHeight="1" thickBot="1" x14ac:dyDescent="0.3">
      <c r="A44" s="4">
        <v>44</v>
      </c>
      <c r="B44" s="405" t="s">
        <v>546</v>
      </c>
      <c r="C44" s="228">
        <f>'D1. Member Months'!I13</f>
        <v>382093.82290687703</v>
      </c>
      <c r="D44" s="227">
        <f>'D5. Waiver Cost Projection'!D33</f>
        <v>356.2601261528381</v>
      </c>
      <c r="E44" s="121">
        <f>'D5. Waiver Cost Projection'!E33</f>
        <v>0</v>
      </c>
      <c r="F44" s="121">
        <f>'D5. Waiver Cost Projection'!F33</f>
        <v>0</v>
      </c>
      <c r="G44" s="121">
        <f>'D5. Waiver Cost Projection'!G33</f>
        <v>6.4766365340115808</v>
      </c>
      <c r="H44" s="230">
        <f>'D5. Waiver Cost Projection'!H33</f>
        <v>362.73676268684966</v>
      </c>
      <c r="I44" s="520">
        <f>(H44/H27)-1</f>
        <v>2.3022709535847286E-2</v>
      </c>
      <c r="J44" s="510"/>
      <c r="K44" s="510"/>
      <c r="L44" s="510"/>
      <c r="M44" s="510"/>
      <c r="N44" s="510"/>
    </row>
    <row r="45" spans="1:14" ht="13.5" customHeight="1" thickTop="1" thickBot="1" x14ac:dyDescent="0.3">
      <c r="A45" s="4">
        <v>45</v>
      </c>
      <c r="B45" s="135" t="s">
        <v>98</v>
      </c>
      <c r="C45" s="137">
        <f>SUM(C41:C44)</f>
        <v>633731.05337715277</v>
      </c>
      <c r="D45" s="138"/>
      <c r="E45" s="139"/>
      <c r="F45" s="139"/>
      <c r="G45" s="139"/>
      <c r="H45" s="139"/>
      <c r="I45" s="521" t="s">
        <v>163</v>
      </c>
      <c r="J45" s="510"/>
      <c r="K45" s="510"/>
      <c r="L45" s="510"/>
      <c r="M45" s="510"/>
      <c r="N45" s="510"/>
    </row>
    <row r="46" spans="1:14" ht="13.5" customHeight="1" thickTop="1" thickBot="1" x14ac:dyDescent="0.3">
      <c r="A46" s="4">
        <v>46</v>
      </c>
      <c r="B46" s="135" t="s">
        <v>311</v>
      </c>
      <c r="C46" s="136"/>
      <c r="D46" s="140">
        <f>SUMPRODUCT(D41:D44,$C$24:$C$27)/$C$28</f>
        <v>937.82615910417894</v>
      </c>
      <c r="E46" s="140">
        <f>SUMPRODUCT(E41:E44,$C$24:$C$27)/$C$28</f>
        <v>0</v>
      </c>
      <c r="F46" s="140">
        <f>SUMPRODUCT(F41:F44,$C$24:$C$27)/$C$28</f>
        <v>0</v>
      </c>
      <c r="G46" s="140">
        <f>SUMPRODUCT(G41:G44,$C$24:$C$27)/$C$28</f>
        <v>16.623257293832676</v>
      </c>
      <c r="H46" s="140">
        <f>SUMPRODUCT(H41:H44,$C$24:$C$27)/$C$28</f>
        <v>954.44941639801152</v>
      </c>
      <c r="I46" s="518">
        <f>(H46/H30)-1</f>
        <v>4.3350188407014878E-2</v>
      </c>
      <c r="J46" s="511"/>
      <c r="K46" s="501"/>
      <c r="L46" s="501"/>
      <c r="M46" s="501"/>
      <c r="N46" s="512"/>
    </row>
    <row r="47" spans="1:14" ht="13.5" customHeight="1" thickTop="1" thickBot="1" x14ac:dyDescent="0.3">
      <c r="A47" s="4">
        <v>47</v>
      </c>
      <c r="B47" s="135" t="s">
        <v>312</v>
      </c>
      <c r="C47" s="136"/>
      <c r="D47" s="140">
        <f>SUMPRODUCT(D41:D44,$C$41:$C$44)/$C$45</f>
        <v>969.10029524368713</v>
      </c>
      <c r="E47" s="140">
        <f>SUMPRODUCT(E41:E44,$C$41:$C$44)/$C$45</f>
        <v>0</v>
      </c>
      <c r="F47" s="140">
        <f>SUMPRODUCT(F41:F44,$C$41:$C$44)/$C$45</f>
        <v>0</v>
      </c>
      <c r="G47" s="140">
        <f>SUMPRODUCT(G41:G44,$C$41:$C$44)/$C$45</f>
        <v>17.630955093956203</v>
      </c>
      <c r="H47" s="140">
        <f>SUMPRODUCT(H41:H44,$C$41:$C$44)/$C$45</f>
        <v>986.73125033764336</v>
      </c>
      <c r="I47" s="522">
        <f>(H47/H30)-1</f>
        <v>7.863886577888457E-2</v>
      </c>
      <c r="J47" s="529"/>
      <c r="K47" s="501"/>
      <c r="L47" s="501"/>
      <c r="M47" s="501"/>
      <c r="N47" s="512"/>
    </row>
    <row r="48" spans="1:14" ht="13.5" customHeight="1" thickTop="1" thickBot="1" x14ac:dyDescent="0.3">
      <c r="A48" s="4">
        <v>48</v>
      </c>
      <c r="B48" s="282" t="s">
        <v>382</v>
      </c>
      <c r="C48" s="144"/>
      <c r="D48" s="145"/>
      <c r="E48" s="145"/>
      <c r="F48" s="145"/>
      <c r="G48" s="145"/>
      <c r="H48" s="146">
        <f>H47*C45</f>
        <v>625322234.67662978</v>
      </c>
      <c r="I48" s="96"/>
      <c r="J48" s="529"/>
      <c r="K48" s="501"/>
      <c r="L48" s="501"/>
      <c r="M48" s="501"/>
      <c r="N48" s="512"/>
    </row>
    <row r="49" spans="1:14" ht="13.5" customHeight="1" thickTop="1" thickBot="1" x14ac:dyDescent="0.3">
      <c r="A49" s="4">
        <v>49</v>
      </c>
      <c r="B49" s="125"/>
      <c r="I49" s="468"/>
      <c r="J49" s="531"/>
      <c r="K49" s="501"/>
      <c r="L49" s="501"/>
      <c r="M49" s="501"/>
      <c r="N49" s="501"/>
    </row>
    <row r="50" spans="1:14" ht="13.5" customHeight="1" x14ac:dyDescent="0.2">
      <c r="A50" s="4">
        <v>50</v>
      </c>
      <c r="B50" s="107"/>
      <c r="C50" s="217" t="s">
        <v>139</v>
      </c>
      <c r="D50" s="108" t="s">
        <v>207</v>
      </c>
      <c r="E50" s="108"/>
      <c r="F50" s="108"/>
      <c r="G50" s="108"/>
      <c r="H50" s="109"/>
      <c r="I50" s="523" t="s">
        <v>163</v>
      </c>
      <c r="J50" s="506"/>
      <c r="K50" s="506"/>
      <c r="L50" s="506"/>
      <c r="M50" s="506"/>
      <c r="N50" s="507"/>
    </row>
    <row r="51" spans="1:14" ht="13.5" customHeight="1" x14ac:dyDescent="0.25">
      <c r="A51" s="4">
        <v>51</v>
      </c>
      <c r="B51" s="110" t="s">
        <v>174</v>
      </c>
      <c r="C51" s="218" t="s">
        <v>184</v>
      </c>
      <c r="D51" s="276" t="s">
        <v>203</v>
      </c>
      <c r="E51" s="111" t="s">
        <v>203</v>
      </c>
      <c r="F51" s="111" t="s">
        <v>203</v>
      </c>
      <c r="G51" s="111" t="s">
        <v>203</v>
      </c>
      <c r="H51" s="111" t="s">
        <v>203</v>
      </c>
      <c r="I51" s="524" t="s">
        <v>187</v>
      </c>
      <c r="J51" s="508"/>
      <c r="K51" s="508"/>
      <c r="L51" s="508"/>
      <c r="M51" s="508"/>
      <c r="N51" s="508"/>
    </row>
    <row r="52" spans="1:14" ht="13.5" customHeight="1" x14ac:dyDescent="0.25">
      <c r="A52" s="4">
        <v>52</v>
      </c>
      <c r="B52" s="110" t="s">
        <v>177</v>
      </c>
      <c r="C52" s="219" t="s">
        <v>140</v>
      </c>
      <c r="D52" s="278" t="s">
        <v>136</v>
      </c>
      <c r="E52" s="113" t="s">
        <v>81</v>
      </c>
      <c r="F52" s="113" t="s">
        <v>137</v>
      </c>
      <c r="G52" s="113" t="s">
        <v>82</v>
      </c>
      <c r="H52" s="114" t="s">
        <v>139</v>
      </c>
      <c r="I52" s="525" t="s">
        <v>188</v>
      </c>
      <c r="J52" s="508"/>
      <c r="K52" s="508"/>
      <c r="L52" s="508"/>
      <c r="M52" s="508"/>
      <c r="N52" s="508"/>
    </row>
    <row r="53" spans="1:14" ht="13.5" customHeight="1" x14ac:dyDescent="0.25">
      <c r="A53" s="4">
        <v>53</v>
      </c>
      <c r="B53" s="116" t="s">
        <v>74</v>
      </c>
      <c r="C53" s="220" t="s">
        <v>19</v>
      </c>
      <c r="D53" s="280" t="s">
        <v>148</v>
      </c>
      <c r="E53" s="117" t="s">
        <v>148</v>
      </c>
      <c r="F53" s="117" t="s">
        <v>148</v>
      </c>
      <c r="G53" s="117" t="s">
        <v>148</v>
      </c>
      <c r="H53" s="118" t="s">
        <v>91</v>
      </c>
      <c r="I53" s="526" t="s">
        <v>186</v>
      </c>
      <c r="J53" s="508"/>
      <c r="K53" s="508"/>
      <c r="L53" s="508"/>
      <c r="M53" s="508"/>
      <c r="N53" s="508"/>
    </row>
    <row r="54" spans="1:14" ht="13.5" customHeight="1" x14ac:dyDescent="0.25">
      <c r="A54" s="4">
        <v>54</v>
      </c>
      <c r="B54" s="405" t="s">
        <v>519</v>
      </c>
      <c r="C54" s="221">
        <f>'D1. Member Months'!N10</f>
        <v>35424.902250928171</v>
      </c>
      <c r="D54" s="226">
        <f>'D5. Waiver Cost Projection'!O30</f>
        <v>537.17435390413664</v>
      </c>
      <c r="E54" s="49">
        <f>'D5. Waiver Cost Projection'!S30</f>
        <v>0</v>
      </c>
      <c r="F54" s="49">
        <f>'D5. Waiver Cost Projection'!W30</f>
        <v>0</v>
      </c>
      <c r="G54" s="49">
        <f>'D5. Waiver Cost Projection'!AA30</f>
        <v>8.7939897187282945</v>
      </c>
      <c r="H54" s="119">
        <f>'D5. Waiver Cost Projection'!AB30</f>
        <v>545.96834362286495</v>
      </c>
      <c r="I54" s="518">
        <f>(H54/H41)-1</f>
        <v>6.1001332882076431E-2</v>
      </c>
      <c r="J54" s="509"/>
      <c r="K54" s="509"/>
      <c r="L54" s="509"/>
      <c r="M54" s="509"/>
      <c r="N54" s="509"/>
    </row>
    <row r="55" spans="1:14" ht="13.5" customHeight="1" x14ac:dyDescent="0.25">
      <c r="A55" s="4">
        <v>55</v>
      </c>
      <c r="B55" s="405" t="s">
        <v>520</v>
      </c>
      <c r="C55" s="221">
        <f>'D1. Member Months'!N11</f>
        <v>157440.54053312328</v>
      </c>
      <c r="D55" s="226">
        <f>'D5. Waiver Cost Projection'!O31</f>
        <v>1514.340192811366</v>
      </c>
      <c r="E55" s="49">
        <f>'D5. Waiver Cost Projection'!S31</f>
        <v>0</v>
      </c>
      <c r="F55" s="49">
        <f>'D5. Waiver Cost Projection'!W31</f>
        <v>0</v>
      </c>
      <c r="G55" s="49">
        <f>'D5. Waiver Cost Projection'!AA31</f>
        <v>39.507324080396849</v>
      </c>
      <c r="H55" s="119">
        <f>'D5. Waiver Cost Projection'!AB31</f>
        <v>1553.8475168917628</v>
      </c>
      <c r="I55" s="519">
        <f>(H55/H42)-1</f>
        <v>6.0597558069544366E-2</v>
      </c>
      <c r="J55" s="509"/>
      <c r="K55" s="509"/>
      <c r="L55" s="509"/>
      <c r="M55" s="509"/>
      <c r="N55" s="509"/>
    </row>
    <row r="56" spans="1:14" ht="13.5" customHeight="1" x14ac:dyDescent="0.25">
      <c r="A56" s="4">
        <v>56</v>
      </c>
      <c r="B56" s="405" t="s">
        <v>521</v>
      </c>
      <c r="C56" s="221">
        <f>'D1. Member Months'!N12</f>
        <v>75690.622200868485</v>
      </c>
      <c r="D56" s="226">
        <f>'D5. Waiver Cost Projection'!O32</f>
        <v>3722.0906237473268</v>
      </c>
      <c r="E56" s="49">
        <f>'D5. Waiver Cost Projection'!S32</f>
        <v>0</v>
      </c>
      <c r="F56" s="49">
        <f>'D5. Waiver Cost Projection'!W32</f>
        <v>0</v>
      </c>
      <c r="G56" s="49">
        <f>'D5. Waiver Cost Projection'!AA32</f>
        <v>39.310185283824765</v>
      </c>
      <c r="H56" s="119">
        <f>'D5. Waiver Cost Projection'!AB32</f>
        <v>3761.4008090311518</v>
      </c>
      <c r="I56" s="519">
        <f>(H56/H43)-1</f>
        <v>6.1246572703684832E-2</v>
      </c>
      <c r="J56" s="509"/>
      <c r="K56" s="509"/>
      <c r="L56" s="509"/>
      <c r="M56" s="509"/>
      <c r="N56" s="509"/>
    </row>
    <row r="57" spans="1:14" ht="13.5" customHeight="1" thickBot="1" x14ac:dyDescent="0.3">
      <c r="A57" s="4">
        <v>57</v>
      </c>
      <c r="B57" s="405" t="s">
        <v>546</v>
      </c>
      <c r="C57" s="228">
        <f>'D1. Member Months'!N13</f>
        <v>398053.00207776064</v>
      </c>
      <c r="D57" s="227">
        <f>'D5. Waiver Cost Projection'!O33</f>
        <v>357.95475548205917</v>
      </c>
      <c r="E57" s="121">
        <f>'D5. Waiver Cost Projection'!S33</f>
        <v>0</v>
      </c>
      <c r="F57" s="121">
        <f>'D5. Waiver Cost Projection'!W33</f>
        <v>0</v>
      </c>
      <c r="G57" s="121">
        <f>'D5. Waiver Cost Projection'!AA33</f>
        <v>6.606169264691812</v>
      </c>
      <c r="H57" s="122">
        <f>'D5. Waiver Cost Projection'!AB33</f>
        <v>364.56092474675097</v>
      </c>
      <c r="I57" s="520">
        <f>(H57/H44)-1</f>
        <v>5.0288866405199251E-3</v>
      </c>
      <c r="J57" s="509"/>
      <c r="K57" s="509"/>
      <c r="L57" s="509"/>
      <c r="M57" s="509"/>
      <c r="N57" s="509"/>
    </row>
    <row r="58" spans="1:14" ht="13.5" customHeight="1" thickTop="1" thickBot="1" x14ac:dyDescent="0.3">
      <c r="A58" s="4">
        <v>58</v>
      </c>
      <c r="B58" s="135" t="s">
        <v>98</v>
      </c>
      <c r="C58" s="137">
        <f>SUM(C54:C57)</f>
        <v>666609.06706268061</v>
      </c>
      <c r="D58" s="138"/>
      <c r="E58" s="139"/>
      <c r="F58" s="139"/>
      <c r="G58" s="139"/>
      <c r="H58" s="139"/>
      <c r="I58" s="527"/>
      <c r="J58" s="501"/>
      <c r="K58" s="501"/>
      <c r="L58" s="501"/>
      <c r="M58" s="501"/>
      <c r="N58" s="501"/>
    </row>
    <row r="59" spans="1:14" ht="13.5" customHeight="1" thickTop="1" thickBot="1" x14ac:dyDescent="0.25">
      <c r="A59" s="18">
        <v>59</v>
      </c>
      <c r="B59" s="135" t="s">
        <v>313</v>
      </c>
      <c r="C59" s="136"/>
      <c r="D59" s="140">
        <f>SUMPRODUCT(D54:D57,$C$41:$C$44)/$C$45</f>
        <v>1016.662423923746</v>
      </c>
      <c r="E59" s="140">
        <f>SUMPRODUCT(E54:E57,$C$41:$C$44)/$C$45</f>
        <v>0</v>
      </c>
      <c r="F59" s="140">
        <f>SUMPRODUCT(F54:F57,$C$41:$C$44)/$C$45</f>
        <v>0</v>
      </c>
      <c r="G59" s="140">
        <f>SUMPRODUCT(G54:G57,$C$41:$C$44)/$C$45</f>
        <v>17.983574195835331</v>
      </c>
      <c r="H59" s="140">
        <f>SUMPRODUCT(H54:H57,$C$41:$C$44)/$C$45</f>
        <v>1034.6459981195815</v>
      </c>
      <c r="I59" s="518">
        <f>(H59/H47)-1</f>
        <v>4.8559065870815932E-2</v>
      </c>
      <c r="J59" s="510"/>
      <c r="K59" s="510"/>
      <c r="L59" s="510"/>
      <c r="M59" s="510"/>
      <c r="N59" s="510"/>
    </row>
    <row r="60" spans="1:14" ht="13.5" customHeight="1" thickTop="1" thickBot="1" x14ac:dyDescent="0.25">
      <c r="A60" s="18">
        <v>60</v>
      </c>
      <c r="B60" s="135" t="s">
        <v>314</v>
      </c>
      <c r="C60" s="136"/>
      <c r="D60" s="140">
        <f>SUMPRODUCT(D54:D57,$C$54:$C$57)/$C$58</f>
        <v>1022.5786617586128</v>
      </c>
      <c r="E60" s="140">
        <f>SUMPRODUCT(E54:E57,$C$54:$C$57)/$C$58</f>
        <v>0</v>
      </c>
      <c r="F60" s="140">
        <f>SUMPRODUCT(F54:F57,$C$54:$C$57)/$C$58</f>
        <v>0</v>
      </c>
      <c r="G60" s="140">
        <f>SUMPRODUCT(G54:G57,$C$54:$C$57)/$C$58</f>
        <v>18.206470891407648</v>
      </c>
      <c r="H60" s="140">
        <f>SUMPRODUCT(H54:H57,$C$54:$C$57)/$C$58</f>
        <v>1040.7851326500206</v>
      </c>
      <c r="I60" s="522">
        <f>(H60/H47)-1</f>
        <v>5.4780754429213596E-2</v>
      </c>
      <c r="J60" s="529"/>
      <c r="K60" s="501"/>
      <c r="L60" s="510"/>
      <c r="M60" s="510"/>
      <c r="N60" s="510"/>
    </row>
    <row r="61" spans="1:14" ht="13.5" customHeight="1" thickTop="1" thickBot="1" x14ac:dyDescent="0.25">
      <c r="A61" s="18">
        <v>61</v>
      </c>
      <c r="B61" s="282" t="s">
        <v>383</v>
      </c>
      <c r="C61" s="144"/>
      <c r="D61" s="145"/>
      <c r="E61" s="145"/>
      <c r="F61" s="145"/>
      <c r="G61" s="145"/>
      <c r="H61" s="146">
        <f>C58*H60</f>
        <v>693796806.28853858</v>
      </c>
      <c r="I61" s="96"/>
      <c r="J61" s="529"/>
      <c r="K61" s="501"/>
      <c r="L61" s="501"/>
      <c r="M61" s="501"/>
      <c r="N61" s="512"/>
    </row>
    <row r="62" spans="1:14" ht="13.5" customHeight="1" thickTop="1" thickBot="1" x14ac:dyDescent="0.3">
      <c r="A62" s="4">
        <v>62</v>
      </c>
      <c r="B62" s="125"/>
      <c r="I62" s="468"/>
      <c r="J62" s="531"/>
      <c r="K62" s="501"/>
      <c r="L62" s="501"/>
      <c r="M62" s="501"/>
      <c r="N62" s="512"/>
    </row>
    <row r="63" spans="1:14" s="31" customFormat="1" ht="13.5" customHeight="1" x14ac:dyDescent="0.2">
      <c r="A63" s="4">
        <v>63</v>
      </c>
      <c r="B63" s="107"/>
      <c r="C63" s="217" t="s">
        <v>139</v>
      </c>
      <c r="D63" s="108" t="s">
        <v>497</v>
      </c>
      <c r="E63" s="108"/>
      <c r="F63" s="108"/>
      <c r="G63" s="108"/>
      <c r="H63" s="109"/>
      <c r="I63" s="523" t="s">
        <v>163</v>
      </c>
      <c r="J63" s="501"/>
      <c r="K63" s="501"/>
      <c r="L63" s="501"/>
      <c r="M63" s="501"/>
      <c r="N63" s="512"/>
    </row>
    <row r="64" spans="1:14" s="31" customFormat="1" ht="13.5" customHeight="1" x14ac:dyDescent="0.2">
      <c r="A64" s="18">
        <v>64</v>
      </c>
      <c r="B64" s="110" t="s">
        <v>174</v>
      </c>
      <c r="C64" s="218" t="s">
        <v>503</v>
      </c>
      <c r="D64" s="276" t="s">
        <v>454</v>
      </c>
      <c r="E64" s="276" t="s">
        <v>454</v>
      </c>
      <c r="F64" s="276" t="s">
        <v>454</v>
      </c>
      <c r="G64" s="276" t="s">
        <v>454</v>
      </c>
      <c r="H64" s="276" t="s">
        <v>454</v>
      </c>
      <c r="I64" s="524" t="s">
        <v>187</v>
      </c>
      <c r="J64" s="513"/>
      <c r="K64" s="513"/>
      <c r="L64" s="513"/>
      <c r="M64" s="513"/>
      <c r="N64" s="513"/>
    </row>
    <row r="65" spans="1:14" s="31" customFormat="1" ht="13.5" customHeight="1" x14ac:dyDescent="0.2">
      <c r="A65" s="18">
        <v>65</v>
      </c>
      <c r="B65" s="110" t="s">
        <v>177</v>
      </c>
      <c r="C65" s="219" t="s">
        <v>140</v>
      </c>
      <c r="D65" s="278" t="s">
        <v>136</v>
      </c>
      <c r="E65" s="113" t="s">
        <v>81</v>
      </c>
      <c r="F65" s="113" t="s">
        <v>137</v>
      </c>
      <c r="G65" s="113" t="s">
        <v>82</v>
      </c>
      <c r="H65" s="114" t="s">
        <v>139</v>
      </c>
      <c r="I65" s="525" t="s">
        <v>500</v>
      </c>
      <c r="J65" s="506"/>
      <c r="K65" s="506"/>
      <c r="L65" s="506"/>
      <c r="M65" s="506"/>
      <c r="N65" s="507"/>
    </row>
    <row r="66" spans="1:14" s="31" customFormat="1" ht="13.5" customHeight="1" x14ac:dyDescent="0.2">
      <c r="A66" s="4">
        <v>66</v>
      </c>
      <c r="B66" s="116" t="s">
        <v>74</v>
      </c>
      <c r="C66" s="220" t="s">
        <v>414</v>
      </c>
      <c r="D66" s="280" t="s">
        <v>148</v>
      </c>
      <c r="E66" s="117" t="s">
        <v>148</v>
      </c>
      <c r="F66" s="117" t="s">
        <v>148</v>
      </c>
      <c r="G66" s="117" t="s">
        <v>148</v>
      </c>
      <c r="H66" s="118" t="s">
        <v>91</v>
      </c>
      <c r="I66" s="526" t="s">
        <v>186</v>
      </c>
      <c r="K66" s="508"/>
      <c r="L66" s="508"/>
      <c r="M66" s="508"/>
      <c r="N66" s="508"/>
    </row>
    <row r="67" spans="1:14" ht="13.5" customHeight="1" x14ac:dyDescent="0.25">
      <c r="A67" s="4">
        <v>67</v>
      </c>
      <c r="B67" s="405" t="s">
        <v>519</v>
      </c>
      <c r="C67" s="221">
        <f>'D1. Member Months'!G32</f>
        <v>36545.570431324217</v>
      </c>
      <c r="D67" s="226">
        <f>'D5. Waiver Cost Projection'!O43</f>
        <v>570.31801154002187</v>
      </c>
      <c r="E67" s="49">
        <f>'D5. Waiver Cost Projection'!S43</f>
        <v>0</v>
      </c>
      <c r="F67" s="49">
        <f>'D5. Waiver Cost Projection'!W43</f>
        <v>0</v>
      </c>
      <c r="G67" s="49">
        <f>'D5. Waiver Cost Projection'!AA43</f>
        <v>8.9698695131028607</v>
      </c>
      <c r="H67" s="119">
        <f>'D5. Waiver Cost Projection'!AB43</f>
        <v>579.28788105312469</v>
      </c>
      <c r="I67" s="518">
        <f>(H67/H54)-1</f>
        <v>6.1028332172452293E-2</v>
      </c>
      <c r="J67" s="508"/>
      <c r="K67" s="508"/>
      <c r="L67" s="508"/>
      <c r="M67" s="508"/>
      <c r="N67" s="508"/>
    </row>
    <row r="68" spans="1:14" ht="13.5" customHeight="1" x14ac:dyDescent="0.25">
      <c r="A68" s="4">
        <v>68</v>
      </c>
      <c r="B68" s="405" t="s">
        <v>520</v>
      </c>
      <c r="C68" s="221">
        <f>'D1. Member Months'!G33</f>
        <v>171157.51782715664</v>
      </c>
      <c r="D68" s="226">
        <f>'D5. Waiver Cost Projection'!O44</f>
        <v>1607.7749827078273</v>
      </c>
      <c r="E68" s="49">
        <f>'D5. Waiver Cost Projection'!S44</f>
        <v>0</v>
      </c>
      <c r="F68" s="49">
        <f>'D5. Waiver Cost Projection'!W44</f>
        <v>0</v>
      </c>
      <c r="G68" s="49">
        <f>'D5. Waiver Cost Projection'!AA44</f>
        <v>40.297470562004783</v>
      </c>
      <c r="H68" s="119">
        <f>'D5. Waiver Cost Projection'!AB44</f>
        <v>1648.0724532698321</v>
      </c>
      <c r="I68" s="519">
        <f>(H68/H55)-1</f>
        <v>6.0639757346687473E-2</v>
      </c>
      <c r="J68" s="508"/>
      <c r="K68" s="508"/>
      <c r="L68" s="508"/>
      <c r="M68" s="508"/>
      <c r="N68" s="508"/>
    </row>
    <row r="69" spans="1:14" s="31" customFormat="1" ht="13.5" customHeight="1" x14ac:dyDescent="0.2">
      <c r="A69" s="4">
        <v>69</v>
      </c>
      <c r="B69" s="405" t="s">
        <v>521</v>
      </c>
      <c r="C69" s="221">
        <f>'D1. Member Months'!G34</f>
        <v>79048.092625238933</v>
      </c>
      <c r="D69" s="226">
        <f>'D5. Waiver Cost Projection'!O45</f>
        <v>3951.7436152325367</v>
      </c>
      <c r="E69" s="49">
        <f>'D5. Waiver Cost Projection'!S45</f>
        <v>0</v>
      </c>
      <c r="F69" s="49">
        <f>'D5. Waiver Cost Projection'!W45</f>
        <v>0</v>
      </c>
      <c r="G69" s="49">
        <f>'D5. Waiver Cost Projection'!AA45</f>
        <v>40.096388989501257</v>
      </c>
      <c r="H69" s="119">
        <f>'D5. Waiver Cost Projection'!AB45</f>
        <v>3991.8400042220378</v>
      </c>
      <c r="I69" s="519">
        <f>(H69/H56)-1</f>
        <v>6.126419567880137E-2</v>
      </c>
      <c r="J69" s="509"/>
      <c r="K69" s="509"/>
      <c r="L69" s="509"/>
      <c r="M69" s="509"/>
      <c r="N69" s="509"/>
    </row>
    <row r="70" spans="1:14" s="31" customFormat="1" ht="13.5" customHeight="1" thickBot="1" x14ac:dyDescent="0.25">
      <c r="A70" s="4">
        <v>70</v>
      </c>
      <c r="B70" s="405" t="s">
        <v>546</v>
      </c>
      <c r="C70" s="221">
        <f>'D1. Member Months'!G35</f>
        <v>415482.51567036833</v>
      </c>
      <c r="D70" s="227">
        <f>'D5. Waiver Cost Projection'!O46</f>
        <v>359.65744568689513</v>
      </c>
      <c r="E70" s="121">
        <f>'D5. Waiver Cost Projection'!S46</f>
        <v>0</v>
      </c>
      <c r="F70" s="121">
        <f>'D5. Waiver Cost Projection'!W46</f>
        <v>0</v>
      </c>
      <c r="G70" s="121">
        <f>'D5. Waiver Cost Projection'!AA46</f>
        <v>6.7382926499856479</v>
      </c>
      <c r="H70" s="122">
        <f>'D5. Waiver Cost Projection'!AB46</f>
        <v>366.39573833688075</v>
      </c>
      <c r="I70" s="520">
        <f>(H70/H57)-1</f>
        <v>5.0329409039227002E-3</v>
      </c>
      <c r="J70" s="509"/>
      <c r="K70" s="509"/>
      <c r="L70" s="509"/>
      <c r="M70" s="509"/>
      <c r="N70" s="509"/>
    </row>
    <row r="71" spans="1:14" ht="13.5" customHeight="1" thickTop="1" thickBot="1" x14ac:dyDescent="0.3">
      <c r="A71" s="4">
        <v>71</v>
      </c>
      <c r="B71" s="135" t="s">
        <v>98</v>
      </c>
      <c r="C71" s="137">
        <f>SUM(C67:C70)</f>
        <v>702233.69655408815</v>
      </c>
      <c r="D71" s="138"/>
      <c r="E71" s="139"/>
      <c r="F71" s="139"/>
      <c r="G71" s="139"/>
      <c r="H71" s="139"/>
      <c r="I71" s="527"/>
      <c r="J71" s="509"/>
      <c r="K71" s="509"/>
      <c r="L71" s="509"/>
      <c r="M71" s="509"/>
      <c r="N71" s="509"/>
    </row>
    <row r="72" spans="1:14" ht="13.5" customHeight="1" thickTop="1" thickBot="1" x14ac:dyDescent="0.3">
      <c r="A72" s="4">
        <v>72</v>
      </c>
      <c r="B72" s="135" t="s">
        <v>510</v>
      </c>
      <c r="C72" s="136"/>
      <c r="D72" s="140">
        <f>SUMPRODUCT(D67:D70,$C$54:$C$57)/C58</f>
        <v>1073.500371496091</v>
      </c>
      <c r="E72" s="140">
        <f>SUMPRODUCT(E67:E70,$C$54:$C$57)/C58</f>
        <v>0</v>
      </c>
      <c r="F72" s="140">
        <f>SUMPRODUCT(F67:F70,$C$54:$C$57)/C58</f>
        <v>0</v>
      </c>
      <c r="G72" s="140">
        <f>SUMPRODUCT(G67:G70,$C$54:$C$57)/C58</f>
        <v>18.5706003092358</v>
      </c>
      <c r="H72" s="140">
        <f>SUMPRODUCT(H67:H70,$C$54:$C$57)/C58</f>
        <v>1092.0709718053265</v>
      </c>
      <c r="I72" s="518">
        <f>(H72/H60)-1</f>
        <v>4.9276106610711468E-2</v>
      </c>
      <c r="J72" s="509"/>
      <c r="K72" s="509"/>
      <c r="L72" s="509"/>
      <c r="M72" s="509"/>
      <c r="N72" s="509"/>
    </row>
    <row r="73" spans="1:14" ht="13.5" customHeight="1" thickTop="1" thickBot="1" x14ac:dyDescent="0.3">
      <c r="A73" s="4">
        <v>73</v>
      </c>
      <c r="B73" s="135" t="s">
        <v>483</v>
      </c>
      <c r="C73" s="136"/>
      <c r="D73" s="140">
        <f>SUMPRODUCT(D67:D70,$C$67:$C$70)/$C$71</f>
        <v>1079.1771338861656</v>
      </c>
      <c r="E73" s="140">
        <f>SUMPRODUCT(E67:E70,$C$67:$C$70)/$C$71</f>
        <v>0</v>
      </c>
      <c r="F73" s="140">
        <f>SUMPRODUCT(F67:F70,$C$67:$C$70)/$C$71</f>
        <v>0</v>
      </c>
      <c r="G73" s="140">
        <f>SUMPRODUCT(G67:G70,$C$67:$C$70)/$C$71</f>
        <v>18.788915928159508</v>
      </c>
      <c r="H73" s="140">
        <f>SUMPRODUCT(H67:H70,$C$67:$C$70)/$C$71</f>
        <v>1097.9660498143251</v>
      </c>
      <c r="I73" s="522">
        <f>(H73/H60)-1</f>
        <v>5.4940174845418799E-2</v>
      </c>
      <c r="J73" s="529"/>
      <c r="K73" s="501"/>
      <c r="L73" s="501"/>
      <c r="M73" s="501"/>
      <c r="N73" s="501"/>
    </row>
    <row r="74" spans="1:14" ht="13.5" customHeight="1" thickTop="1" thickBot="1" x14ac:dyDescent="0.3">
      <c r="A74" s="4">
        <v>74</v>
      </c>
      <c r="B74" s="282" t="s">
        <v>511</v>
      </c>
      <c r="C74" s="144"/>
      <c r="D74" s="145"/>
      <c r="E74" s="145"/>
      <c r="F74" s="145"/>
      <c r="G74" s="145"/>
      <c r="H74" s="146">
        <f>C71*H73</f>
        <v>771028757.85200357</v>
      </c>
      <c r="I74" s="528"/>
      <c r="J74" s="529"/>
      <c r="K74" s="501"/>
      <c r="L74" s="510"/>
      <c r="M74" s="510"/>
      <c r="N74" s="510"/>
    </row>
    <row r="75" spans="1:14" ht="16" customHeight="1" thickTop="1" thickBot="1" x14ac:dyDescent="0.3">
      <c r="A75" s="4">
        <v>75</v>
      </c>
      <c r="B75" s="125"/>
      <c r="I75" s="468"/>
      <c r="J75" s="531"/>
      <c r="K75" s="501"/>
      <c r="L75" s="510"/>
      <c r="M75" s="510"/>
      <c r="N75" s="510"/>
    </row>
    <row r="76" spans="1:14" ht="16" customHeight="1" x14ac:dyDescent="0.25">
      <c r="A76" s="4">
        <v>76</v>
      </c>
      <c r="B76" s="107"/>
      <c r="C76" s="217" t="s">
        <v>139</v>
      </c>
      <c r="D76" s="108" t="s">
        <v>498</v>
      </c>
      <c r="E76" s="108"/>
      <c r="F76" s="108"/>
      <c r="G76" s="108"/>
      <c r="H76" s="109"/>
      <c r="I76" s="523" t="s">
        <v>163</v>
      </c>
      <c r="J76" s="511"/>
      <c r="K76" s="501"/>
      <c r="L76" s="501"/>
      <c r="M76" s="501"/>
      <c r="N76" s="512"/>
    </row>
    <row r="77" spans="1:14" ht="16" customHeight="1" x14ac:dyDescent="0.25">
      <c r="A77" s="4">
        <v>77</v>
      </c>
      <c r="B77" s="110" t="s">
        <v>174</v>
      </c>
      <c r="C77" s="218" t="s">
        <v>504</v>
      </c>
      <c r="D77" s="276" t="s">
        <v>452</v>
      </c>
      <c r="E77" s="276" t="s">
        <v>452</v>
      </c>
      <c r="F77" s="276" t="s">
        <v>452</v>
      </c>
      <c r="G77" s="276" t="s">
        <v>452</v>
      </c>
      <c r="H77" s="276" t="s">
        <v>452</v>
      </c>
      <c r="I77" s="524" t="s">
        <v>187</v>
      </c>
      <c r="J77" s="501"/>
      <c r="K77" s="501"/>
      <c r="L77" s="501"/>
      <c r="M77" s="501"/>
      <c r="N77" s="512"/>
    </row>
    <row r="78" spans="1:14" x14ac:dyDescent="0.25">
      <c r="A78" s="4">
        <v>78</v>
      </c>
      <c r="B78" s="110" t="s">
        <v>177</v>
      </c>
      <c r="C78" s="219" t="s">
        <v>140</v>
      </c>
      <c r="D78" s="278" t="s">
        <v>136</v>
      </c>
      <c r="E78" s="113" t="s">
        <v>81</v>
      </c>
      <c r="F78" s="113" t="s">
        <v>137</v>
      </c>
      <c r="G78" s="113" t="s">
        <v>82</v>
      </c>
      <c r="H78" s="114" t="s">
        <v>139</v>
      </c>
      <c r="I78" s="525" t="s">
        <v>501</v>
      </c>
      <c r="J78" s="530"/>
      <c r="K78" s="501"/>
      <c r="L78" s="501"/>
      <c r="M78" s="501"/>
      <c r="N78" s="512"/>
    </row>
    <row r="79" spans="1:14" x14ac:dyDescent="0.25">
      <c r="A79" s="4">
        <v>79</v>
      </c>
      <c r="B79" s="116" t="s">
        <v>74</v>
      </c>
      <c r="C79" s="220" t="s">
        <v>415</v>
      </c>
      <c r="D79" s="280" t="s">
        <v>148</v>
      </c>
      <c r="E79" s="117" t="s">
        <v>148</v>
      </c>
      <c r="F79" s="117" t="s">
        <v>148</v>
      </c>
      <c r="G79" s="117" t="s">
        <v>148</v>
      </c>
      <c r="H79" s="118" t="s">
        <v>91</v>
      </c>
      <c r="I79" s="526" t="s">
        <v>186</v>
      </c>
    </row>
    <row r="80" spans="1:14" x14ac:dyDescent="0.25">
      <c r="A80" s="4">
        <v>80</v>
      </c>
      <c r="B80" s="405" t="s">
        <v>519</v>
      </c>
      <c r="C80" s="221">
        <f>'D1. Member Months'!L32</f>
        <v>37701.690993823009</v>
      </c>
      <c r="D80" s="226">
        <f>'D5. Waiver Cost Projection'!O57</f>
        <v>605.50663285204121</v>
      </c>
      <c r="E80" s="49">
        <f>'D5. Waiver Cost Projection'!S57</f>
        <v>0</v>
      </c>
      <c r="F80" s="49">
        <f>'D5. Waiver Cost Projection'!W57</f>
        <v>0</v>
      </c>
      <c r="G80" s="49">
        <f>'D5. Waiver Cost Projection'!AA57</f>
        <v>9.1492669033649179</v>
      </c>
      <c r="H80" s="119">
        <f>'D5. Waiver Cost Projection'!AB57</f>
        <v>614.65589975540615</v>
      </c>
      <c r="I80" s="518">
        <f>(H80/H67)-1</f>
        <v>6.1054304533324055E-2</v>
      </c>
    </row>
    <row r="81" spans="1:11" x14ac:dyDescent="0.25">
      <c r="A81" s="4">
        <v>81</v>
      </c>
      <c r="B81" s="405" t="s">
        <v>520</v>
      </c>
      <c r="C81" s="221">
        <f>'D1. Member Months'!L33</f>
        <v>186069.58417162072</v>
      </c>
      <c r="D81" s="226">
        <f>'D5. Waiver Cost Projection'!O58</f>
        <v>1714.3146903472061</v>
      </c>
      <c r="E81" s="49">
        <f>'D5. Waiver Cost Projection'!S58</f>
        <v>0</v>
      </c>
      <c r="F81" s="49">
        <f>'D5. Waiver Cost Projection'!W58</f>
        <v>0</v>
      </c>
      <c r="G81" s="49">
        <f>'D5. Waiver Cost Projection'!AA58</f>
        <v>41.103419973244876</v>
      </c>
      <c r="H81" s="119">
        <f>'D5. Waiver Cost Projection'!AB58</f>
        <v>1755.418110320451</v>
      </c>
      <c r="I81" s="519">
        <f>(H81/H68)-1</f>
        <v>6.5134064244348977E-2</v>
      </c>
    </row>
    <row r="82" spans="1:11" x14ac:dyDescent="0.25">
      <c r="A82" s="4">
        <v>82</v>
      </c>
      <c r="B82" s="405" t="s">
        <v>521</v>
      </c>
      <c r="C82" s="221">
        <f>'D1. Member Months'!L34</f>
        <v>82554.493093024881</v>
      </c>
      <c r="D82" s="226">
        <f>'D5. Waiver Cost Projection'!O59</f>
        <v>4218.6418103719925</v>
      </c>
      <c r="E82" s="49">
        <f>'D5. Waiver Cost Projection'!S59</f>
        <v>0</v>
      </c>
      <c r="F82" s="49">
        <f>'D5. Waiver Cost Projection'!W59</f>
        <v>0</v>
      </c>
      <c r="G82" s="49">
        <f>'D5. Waiver Cost Projection'!AA59</f>
        <v>40.898316769291284</v>
      </c>
      <c r="H82" s="119">
        <f>'D5. Waiver Cost Projection'!AB59</f>
        <v>4259.5401271412838</v>
      </c>
      <c r="I82" s="519">
        <f>(H82/H69)-1</f>
        <v>6.7061836806111552E-2</v>
      </c>
    </row>
    <row r="83" spans="1:11" ht="13" thickBot="1" x14ac:dyDescent="0.3">
      <c r="A83" s="4">
        <v>83</v>
      </c>
      <c r="B83" s="405" t="s">
        <v>546</v>
      </c>
      <c r="C83" s="221">
        <f>'D1. Member Months'!L35</f>
        <v>434564.60628495459</v>
      </c>
      <c r="D83" s="226">
        <f>'D5. Waiver Cost Projection'!O60</f>
        <v>361.3682351106666</v>
      </c>
      <c r="E83" s="49">
        <f>'D5. Waiver Cost Projection'!S60</f>
        <v>0</v>
      </c>
      <c r="F83" s="49">
        <f>'D5. Waiver Cost Projection'!W60</f>
        <v>0</v>
      </c>
      <c r="G83" s="49">
        <f>'D5. Waiver Cost Projection'!AA60</f>
        <v>6.8730585029853613</v>
      </c>
      <c r="H83" s="119">
        <f>'D5. Waiver Cost Projection'!AB60</f>
        <v>368.24129361365198</v>
      </c>
      <c r="I83" s="520">
        <f>(H83/H70)-1</f>
        <v>5.0370544295859077E-3</v>
      </c>
    </row>
    <row r="84" spans="1:11" ht="13.5" thickTop="1" thickBot="1" x14ac:dyDescent="0.3">
      <c r="A84" s="4">
        <v>84</v>
      </c>
      <c r="B84" s="135" t="s">
        <v>98</v>
      </c>
      <c r="C84" s="137">
        <f>SUM(C80:C83)</f>
        <v>740890.37454342318</v>
      </c>
      <c r="D84" s="138"/>
      <c r="E84" s="139"/>
      <c r="F84" s="139"/>
      <c r="G84" s="139"/>
      <c r="H84" s="139"/>
      <c r="I84" s="527"/>
    </row>
    <row r="85" spans="1:11" ht="13.5" thickTop="1" thickBot="1" x14ac:dyDescent="0.3">
      <c r="A85" s="4">
        <v>85</v>
      </c>
      <c r="B85" s="135" t="s">
        <v>513</v>
      </c>
      <c r="C85" s="136"/>
      <c r="D85" s="140">
        <f>SUMPRODUCT(D80:D83,$C$67:$C$70)/$C$71</f>
        <v>1138.03169568717</v>
      </c>
      <c r="E85" s="140">
        <f>SUMPRODUCT(E80:E83,$C$67:$C$70)/$C$71</f>
        <v>0</v>
      </c>
      <c r="F85" s="140">
        <f>SUMPRODUCT(F80:F83,$C$67:$C$70)/$C$71</f>
        <v>0</v>
      </c>
      <c r="G85" s="140">
        <f>SUMPRODUCT(G80:G83,$C$67:$C$70)/$C$71</f>
        <v>19.1646942467227</v>
      </c>
      <c r="H85" s="140">
        <f>SUMPRODUCT(H80:H83,$C$67:$C$70)/$C$71</f>
        <v>1157.1963899338925</v>
      </c>
      <c r="I85" s="518">
        <f>(H85/H73)-1</f>
        <v>5.3945511456919615E-2</v>
      </c>
    </row>
    <row r="86" spans="1:11" ht="13.5" thickTop="1" thickBot="1" x14ac:dyDescent="0.3">
      <c r="A86" s="4">
        <v>86</v>
      </c>
      <c r="B86" s="135" t="s">
        <v>482</v>
      </c>
      <c r="C86" s="136"/>
      <c r="D86" s="140">
        <f>SUMPRODUCT(D80:D83,$C$80:$C$83)/$C$84</f>
        <v>1143.3758024887265</v>
      </c>
      <c r="E86" s="140">
        <f>SUMPRODUCT(E80:E83,$C$80:$C$83)/$C$84</f>
        <v>0</v>
      </c>
      <c r="F86" s="140">
        <f>SUMPRODUCT(F80:F83,$C$80:$C$83)/$C$84</f>
        <v>0</v>
      </c>
      <c r="G86" s="140">
        <f>SUMPRODUCT(G80:G83,$C$80:$C$83)/$C$84</f>
        <v>19.376911026116357</v>
      </c>
      <c r="H86" s="140">
        <f>SUMPRODUCT(H80:H83,$C$80:$C$83)/$C$84</f>
        <v>1162.752713514843</v>
      </c>
      <c r="I86" s="522">
        <f>(H86/H73)-1</f>
        <v>5.9006071919504022E-2</v>
      </c>
      <c r="J86" s="529"/>
      <c r="K86" s="501"/>
    </row>
    <row r="87" spans="1:11" ht="13.5" thickTop="1" thickBot="1" x14ac:dyDescent="0.3">
      <c r="A87" s="4">
        <v>87</v>
      </c>
      <c r="B87" s="282" t="s">
        <v>512</v>
      </c>
      <c r="C87" s="144"/>
      <c r="D87" s="145"/>
      <c r="E87" s="145"/>
      <c r="F87" s="145"/>
      <c r="G87" s="145"/>
      <c r="H87" s="146">
        <f>C84*H86</f>
        <v>861472293.41739368</v>
      </c>
      <c r="I87" s="96"/>
      <c r="J87" s="529"/>
      <c r="K87" s="501"/>
    </row>
    <row r="88" spans="1:11" ht="13.5" thickTop="1" thickBot="1" x14ac:dyDescent="0.3">
      <c r="A88" s="4">
        <v>88</v>
      </c>
      <c r="B88" s="125"/>
      <c r="I88" s="468"/>
      <c r="J88" s="531"/>
      <c r="K88" s="501"/>
    </row>
    <row r="89" spans="1:11" x14ac:dyDescent="0.25">
      <c r="A89" s="4">
        <v>89</v>
      </c>
      <c r="B89" s="107"/>
      <c r="C89" s="217" t="s">
        <v>139</v>
      </c>
      <c r="D89" s="108" t="s">
        <v>499</v>
      </c>
      <c r="E89" s="108"/>
      <c r="F89" s="108"/>
      <c r="G89" s="108"/>
      <c r="H89" s="109"/>
      <c r="I89" s="234" t="s">
        <v>163</v>
      </c>
    </row>
    <row r="90" spans="1:11" x14ac:dyDescent="0.25">
      <c r="A90" s="4">
        <v>90</v>
      </c>
      <c r="B90" s="110" t="s">
        <v>174</v>
      </c>
      <c r="C90" s="218" t="s">
        <v>505</v>
      </c>
      <c r="D90" s="276" t="s">
        <v>506</v>
      </c>
      <c r="E90" s="276" t="s">
        <v>506</v>
      </c>
      <c r="F90" s="276" t="s">
        <v>506</v>
      </c>
      <c r="G90" s="276" t="s">
        <v>506</v>
      </c>
      <c r="H90" s="276" t="s">
        <v>506</v>
      </c>
      <c r="I90" s="235" t="s">
        <v>187</v>
      </c>
    </row>
    <row r="91" spans="1:11" x14ac:dyDescent="0.25">
      <c r="A91" s="4">
        <v>91</v>
      </c>
      <c r="B91" s="110" t="s">
        <v>177</v>
      </c>
      <c r="C91" s="219" t="s">
        <v>140</v>
      </c>
      <c r="D91" s="278" t="s">
        <v>136</v>
      </c>
      <c r="E91" s="113" t="s">
        <v>81</v>
      </c>
      <c r="F91" s="113" t="s">
        <v>137</v>
      </c>
      <c r="G91" s="113" t="s">
        <v>82</v>
      </c>
      <c r="H91" s="114" t="s">
        <v>139</v>
      </c>
      <c r="I91" s="236" t="s">
        <v>502</v>
      </c>
    </row>
    <row r="92" spans="1:11" x14ac:dyDescent="0.25">
      <c r="A92" s="4">
        <v>92</v>
      </c>
      <c r="B92" s="116" t="s">
        <v>74</v>
      </c>
      <c r="C92" s="220" t="s">
        <v>421</v>
      </c>
      <c r="D92" s="280" t="s">
        <v>148</v>
      </c>
      <c r="E92" s="117" t="s">
        <v>148</v>
      </c>
      <c r="F92" s="117" t="s">
        <v>148</v>
      </c>
      <c r="G92" s="117" t="s">
        <v>148</v>
      </c>
      <c r="H92" s="118" t="s">
        <v>91</v>
      </c>
      <c r="I92" s="237" t="s">
        <v>186</v>
      </c>
    </row>
    <row r="93" spans="1:11" x14ac:dyDescent="0.25">
      <c r="A93" s="4">
        <v>93</v>
      </c>
      <c r="B93" s="405" t="s">
        <v>519</v>
      </c>
      <c r="C93" s="221">
        <f>'D1. Member Months'!Q32</f>
        <v>38894.385475931136</v>
      </c>
      <c r="D93" s="226">
        <f>'D5. Waiver Cost Projection'!O70</f>
        <v>642.86639209901216</v>
      </c>
      <c r="E93" s="49">
        <f>'D5. Waiver Cost Projection'!S70</f>
        <v>0</v>
      </c>
      <c r="F93" s="49">
        <f>'D5. Waiver Cost Projection'!W70</f>
        <v>0</v>
      </c>
      <c r="G93" s="49">
        <f>'D5. Waiver Cost Projection'!AA70</f>
        <v>9.3322522414322169</v>
      </c>
      <c r="H93" s="119">
        <f>'D5. Waiver Cost Projection'!AB70</f>
        <v>652.19864434044439</v>
      </c>
      <c r="I93" s="464">
        <f>(H93/H80)-1</f>
        <v>6.1079287777076274E-2</v>
      </c>
    </row>
    <row r="94" spans="1:11" x14ac:dyDescent="0.25">
      <c r="A94" s="4">
        <v>94</v>
      </c>
      <c r="B94" s="405" t="s">
        <v>520</v>
      </c>
      <c r="C94" s="221">
        <f>'D1. Member Months'!Q33</f>
        <v>202280.86147383109</v>
      </c>
      <c r="D94" s="226">
        <f>'D5. Waiver Cost Projection'!O71</f>
        <v>1835.0126275769101</v>
      </c>
      <c r="E94" s="49">
        <f>'D5. Waiver Cost Projection'!S71</f>
        <v>0</v>
      </c>
      <c r="F94" s="49">
        <f>'D5. Waiver Cost Projection'!W71</f>
        <v>0</v>
      </c>
      <c r="G94" s="49">
        <f>'D5. Waiver Cost Projection'!AA71</f>
        <v>41.925488372709772</v>
      </c>
      <c r="H94" s="119">
        <f>'D5. Waiver Cost Projection'!AB71</f>
        <v>1876.9381159496199</v>
      </c>
      <c r="I94" s="466">
        <f>(H94/H81)-1</f>
        <v>6.9225676159274441E-2</v>
      </c>
    </row>
    <row r="95" spans="1:11" x14ac:dyDescent="0.25">
      <c r="A95" s="4">
        <v>95</v>
      </c>
      <c r="B95" s="405" t="s">
        <v>521</v>
      </c>
      <c r="C95" s="221">
        <f>'D1. Member Months'!Q34</f>
        <v>86216.429815161449</v>
      </c>
      <c r="D95" s="226">
        <f>'D5. Waiver Cost Projection'!O72</f>
        <v>4525.9607961777001</v>
      </c>
      <c r="E95" s="49">
        <f>'D5. Waiver Cost Projection'!S72</f>
        <v>0</v>
      </c>
      <c r="F95" s="49">
        <f>'D5. Waiver Cost Projection'!W72</f>
        <v>0</v>
      </c>
      <c r="G95" s="49">
        <f>'D5. Waiver Cost Projection'!AA72</f>
        <v>41.71628310467711</v>
      </c>
      <c r="H95" s="119">
        <f>'D5. Waiver Cost Projection'!AB72</f>
        <v>4567.6770792823772</v>
      </c>
      <c r="I95" s="466">
        <f>(H95/H82)-1</f>
        <v>7.2340427122092654E-2</v>
      </c>
    </row>
    <row r="96" spans="1:11" ht="13" thickBot="1" x14ac:dyDescent="0.3">
      <c r="A96" s="4">
        <v>96</v>
      </c>
      <c r="B96" s="405" t="s">
        <v>546</v>
      </c>
      <c r="C96" s="221">
        <f>'D1. Member Months'!Q35</f>
        <v>455505.885231024</v>
      </c>
      <c r="D96" s="226">
        <f>'D5. Waiver Cost Projection'!O73</f>
        <v>363.08716227908252</v>
      </c>
      <c r="E96" s="49">
        <f>'D5. Waiver Cost Projection'!S73</f>
        <v>0</v>
      </c>
      <c r="F96" s="49">
        <f>'D5. Waiver Cost Projection'!W73</f>
        <v>0</v>
      </c>
      <c r="G96" s="49">
        <f>'D5. Waiver Cost Projection'!AA73</f>
        <v>7.0105196730450681</v>
      </c>
      <c r="H96" s="119">
        <f>'D5. Waiver Cost Projection'!AB73</f>
        <v>370.09768195212757</v>
      </c>
      <c r="I96" s="467">
        <f>(H96/H83)-1</f>
        <v>5.0412280498428608E-3</v>
      </c>
    </row>
    <row r="97" spans="1:12" ht="13.5" thickTop="1" thickBot="1" x14ac:dyDescent="0.3">
      <c r="A97" s="4">
        <v>97</v>
      </c>
      <c r="B97" s="135" t="s">
        <v>98</v>
      </c>
      <c r="C97" s="137">
        <f>SUM(C93:C96)</f>
        <v>782897.56199594773</v>
      </c>
      <c r="D97" s="138"/>
      <c r="E97" s="139"/>
      <c r="F97" s="139"/>
      <c r="G97" s="139"/>
      <c r="H97" s="139"/>
      <c r="I97" s="463"/>
    </row>
    <row r="98" spans="1:12" ht="13.5" thickTop="1" thickBot="1" x14ac:dyDescent="0.3">
      <c r="A98" s="4">
        <v>98</v>
      </c>
      <c r="B98" s="135" t="s">
        <v>515</v>
      </c>
      <c r="C98" s="136"/>
      <c r="D98" s="140">
        <f>SUMPRODUCT(D93:D96,$C$80:$C$83)/$C$84</f>
        <v>1210.8409644156409</v>
      </c>
      <c r="E98" s="140">
        <f>SUMPRODUCT(E93:E96,$C$80:$C$83)/$C$84</f>
        <v>0</v>
      </c>
      <c r="F98" s="140">
        <f>SUMPRODUCT(F93:F96,$C$80:$C$83)/$C$84</f>
        <v>0</v>
      </c>
      <c r="G98" s="140">
        <f>SUMPRODUCT(G93:G96,$C$80:$C$83)/$C$84</f>
        <v>19.764449246638684</v>
      </c>
      <c r="H98" s="140">
        <f>SUMPRODUCT(H93:H96,$C$80:$C$83)/$C$84</f>
        <v>1230.6054136622795</v>
      </c>
      <c r="I98" s="464">
        <f>(H98/H86)-1</f>
        <v>5.8355228380699398E-2</v>
      </c>
    </row>
    <row r="99" spans="1:12" ht="13.5" thickTop="1" thickBot="1" x14ac:dyDescent="0.3">
      <c r="A99" s="4">
        <v>99</v>
      </c>
      <c r="B99" s="135" t="s">
        <v>481</v>
      </c>
      <c r="C99" s="136"/>
      <c r="D99" s="140">
        <f>SUMPRODUCT(D93:D96,$C$93:$C$96)/$C$97</f>
        <v>1215.7303780058814</v>
      </c>
      <c r="E99" s="140">
        <f>SUMPRODUCT(E93:E96,$C$93:$C$96)/$C$97</f>
        <v>0</v>
      </c>
      <c r="F99" s="140">
        <f>SUMPRODUCT(F93:F96,$C$93:$C$96)/$C$97</f>
        <v>0</v>
      </c>
      <c r="G99" s="140">
        <f>SUMPRODUCT(G93:G96,$C$93:$C$96)/$C$97</f>
        <v>19.96897020086049</v>
      </c>
      <c r="H99" s="140">
        <f>SUMPRODUCT(H93:H96,$C$93:$C$96)/$C$97</f>
        <v>1235.6993482067421</v>
      </c>
      <c r="I99" s="465">
        <f>(H99/H86)-1</f>
        <v>6.2736155197945287E-2</v>
      </c>
      <c r="J99" s="529"/>
      <c r="K99" s="501"/>
    </row>
    <row r="100" spans="1:12" ht="13.5" thickTop="1" thickBot="1" x14ac:dyDescent="0.3">
      <c r="A100" s="4">
        <v>100</v>
      </c>
      <c r="B100" s="282" t="s">
        <v>514</v>
      </c>
      <c r="C100" s="144"/>
      <c r="D100" s="145"/>
      <c r="E100" s="145"/>
      <c r="F100" s="145"/>
      <c r="G100" s="145"/>
      <c r="H100" s="146">
        <f>C97*H99</f>
        <v>967426007.07104003</v>
      </c>
      <c r="I100" s="96"/>
      <c r="J100" s="529"/>
      <c r="K100" s="501"/>
    </row>
    <row r="101" spans="1:12" ht="13.5" thickTop="1" thickBot="1" x14ac:dyDescent="0.3">
      <c r="A101" s="4">
        <v>101</v>
      </c>
      <c r="I101" s="96"/>
      <c r="J101" s="531"/>
      <c r="K101" s="501"/>
    </row>
    <row r="102" spans="1:12" x14ac:dyDescent="0.25">
      <c r="A102" s="4">
        <v>102</v>
      </c>
      <c r="B102" s="107"/>
      <c r="C102" s="326" t="s">
        <v>139</v>
      </c>
      <c r="D102" s="326" t="s">
        <v>139</v>
      </c>
      <c r="E102" s="22"/>
      <c r="F102" s="22"/>
      <c r="G102" s="22"/>
      <c r="H102" s="22"/>
      <c r="I102" s="238"/>
      <c r="J102" s="238"/>
      <c r="K102" s="238"/>
      <c r="L102" s="238"/>
    </row>
    <row r="103" spans="1:12" x14ac:dyDescent="0.25">
      <c r="A103" s="4">
        <v>103</v>
      </c>
      <c r="B103" s="110" t="s">
        <v>174</v>
      </c>
      <c r="C103" s="327" t="s">
        <v>232</v>
      </c>
      <c r="D103" s="327" t="s">
        <v>507</v>
      </c>
      <c r="I103" s="239" t="s">
        <v>185</v>
      </c>
      <c r="J103" s="239" t="s">
        <v>185</v>
      </c>
      <c r="K103" s="239" t="s">
        <v>185</v>
      </c>
      <c r="L103" s="239" t="s">
        <v>185</v>
      </c>
    </row>
    <row r="104" spans="1:12" x14ac:dyDescent="0.25">
      <c r="A104" s="4">
        <v>104</v>
      </c>
      <c r="B104" s="110" t="s">
        <v>177</v>
      </c>
      <c r="C104" s="328" t="s">
        <v>140</v>
      </c>
      <c r="D104" s="328" t="s">
        <v>140</v>
      </c>
      <c r="I104" s="236" t="s">
        <v>254</v>
      </c>
      <c r="J104" s="236" t="s">
        <v>496</v>
      </c>
      <c r="K104" s="236" t="s">
        <v>254</v>
      </c>
      <c r="L104" s="236" t="s">
        <v>496</v>
      </c>
    </row>
    <row r="105" spans="1:12" x14ac:dyDescent="0.25">
      <c r="A105" s="4">
        <v>105</v>
      </c>
      <c r="B105" s="116" t="s">
        <v>74</v>
      </c>
      <c r="C105" s="329" t="s">
        <v>233</v>
      </c>
      <c r="D105" s="329" t="s">
        <v>508</v>
      </c>
      <c r="H105" s="300"/>
      <c r="I105" s="237" t="s">
        <v>373</v>
      </c>
      <c r="J105" s="237" t="s">
        <v>373</v>
      </c>
      <c r="K105" s="237" t="s">
        <v>189</v>
      </c>
      <c r="L105" s="237" t="s">
        <v>189</v>
      </c>
    </row>
    <row r="106" spans="1:12" x14ac:dyDescent="0.25">
      <c r="A106" s="4">
        <v>106</v>
      </c>
      <c r="B106" s="405" t="s">
        <v>519</v>
      </c>
      <c r="C106" s="221">
        <f>'D1. Member Months'!J20</f>
        <v>69763.501557950774</v>
      </c>
      <c r="D106" s="221">
        <f>'D1. Member Months'!K20</f>
        <v>182905.14845902912</v>
      </c>
      <c r="I106" s="466">
        <f>(((H54/H12)^(1/'D1. Member Months'!Q16))-1)</f>
        <v>2.4426496888119154E-4</v>
      </c>
      <c r="J106" s="466">
        <f>(((H93/H12)^(1/'D1. Member Months'!Q24))-1)</f>
        <v>1.9526474132147698E-4</v>
      </c>
      <c r="K106" s="466">
        <f t="shared" ref="K106:L109" si="0">((1+I106)^12)-1</f>
        <v>2.9351207494046072E-3</v>
      </c>
      <c r="L106" s="466">
        <f t="shared" si="0"/>
        <v>2.3456950035700697E-3</v>
      </c>
    </row>
    <row r="107" spans="1:12" x14ac:dyDescent="0.25">
      <c r="A107" s="4">
        <v>107</v>
      </c>
      <c r="B107" s="405" t="s">
        <v>520</v>
      </c>
      <c r="C107" s="221">
        <f>'D1. Member Months'!J21</f>
        <v>302263.41549672082</v>
      </c>
      <c r="D107" s="221">
        <f>'D1. Member Months'!K21</f>
        <v>861771.37896932929</v>
      </c>
      <c r="H107" s="301"/>
      <c r="I107" s="466">
        <f>(((H55/H13)^(1/+'D1. Member Months'!Q16))-1)</f>
        <v>2.4263172625338392E-4</v>
      </c>
      <c r="J107" s="466">
        <f>(((H94/H13)^(1/'D1. Member Months'!Q24))-1)</f>
        <v>2.0072318197983385E-4</v>
      </c>
      <c r="K107" s="466">
        <f t="shared" si="0"/>
        <v>2.9154692893877954E-3</v>
      </c>
      <c r="L107" s="466">
        <f t="shared" si="0"/>
        <v>2.4113390902447129E-3</v>
      </c>
    </row>
    <row r="108" spans="1:12" x14ac:dyDescent="0.25">
      <c r="A108" s="4">
        <v>108</v>
      </c>
      <c r="B108" s="405" t="s">
        <v>521</v>
      </c>
      <c r="C108" s="221">
        <f>'D1. Member Months'!J22</f>
        <v>148166.37840052403</v>
      </c>
      <c r="D108" s="221">
        <f>'D1. Member Months'!K22</f>
        <v>395985.39393394929</v>
      </c>
      <c r="I108" s="466">
        <f>(((H56/H14)^(1/+'D1. Member Months'!Q16))-1)</f>
        <v>2.4525728893531884E-4</v>
      </c>
      <c r="J108" s="466">
        <f>(((H95/H14)^(1/'D1. Member Months'!Q24))-1)</f>
        <v>2.0468771600601343E-4</v>
      </c>
      <c r="K108" s="466">
        <f t="shared" si="0"/>
        <v>2.9470606896599971E-3</v>
      </c>
      <c r="L108" s="466">
        <f t="shared" si="0"/>
        <v>2.4590196856524305E-3</v>
      </c>
    </row>
    <row r="109" spans="1:12" ht="13" thickBot="1" x14ac:dyDescent="0.3">
      <c r="A109" s="4">
        <v>109</v>
      </c>
      <c r="B109" s="405" t="s">
        <v>546</v>
      </c>
      <c r="C109" s="221">
        <f>'D1. Member Months'!J23</f>
        <v>780146.82498463767</v>
      </c>
      <c r="D109" s="221">
        <f>'D1. Member Months'!K23</f>
        <v>2085699.8321709847</v>
      </c>
      <c r="I109" s="466">
        <f>(((H57/H15)^(1/+'D1. Member Months'!Q16))-1)</f>
        <v>1.6884534948591323E-4</v>
      </c>
      <c r="J109" s="466">
        <f>(((H96/H15)^(1/'D1. Member Months'!Q24))-1)</f>
        <v>7.5724570157920112E-5</v>
      </c>
      <c r="K109" s="466">
        <f t="shared" si="0"/>
        <v>2.0280268308539018E-3</v>
      </c>
      <c r="L109" s="466">
        <f t="shared" si="0"/>
        <v>9.0907339533408127E-4</v>
      </c>
    </row>
    <row r="110" spans="1:12" ht="13.5" thickTop="1" thickBot="1" x14ac:dyDescent="0.3">
      <c r="A110" s="4">
        <v>110</v>
      </c>
      <c r="B110" s="135" t="s">
        <v>98</v>
      </c>
      <c r="C110" s="137">
        <f>SUM(C106:C109)</f>
        <v>1300340.1204398333</v>
      </c>
      <c r="D110" s="137">
        <f>SUM(D106:D109)</f>
        <v>3526361.7535332926</v>
      </c>
      <c r="I110" s="22"/>
      <c r="J110" s="22"/>
      <c r="K110" s="22"/>
      <c r="L110" s="22"/>
    </row>
    <row r="111" spans="1:12" ht="13.5" thickTop="1" thickBot="1" x14ac:dyDescent="0.3">
      <c r="A111" s="4">
        <v>111</v>
      </c>
      <c r="B111" s="135" t="s">
        <v>315</v>
      </c>
      <c r="C111" s="22"/>
      <c r="I111" s="469">
        <f>((((SUMPRODUCT(H54:H57,$C$12:$C$15)/$C$16)/H17)^(1/+'D1. Member Months'!Q16))-1)</f>
        <v>2.2734540021707161E-4</v>
      </c>
      <c r="J111" s="469">
        <f>((((SUMPRODUCT(H93:H96,$C$12:$C$15)/$C$16)/H17)^(1/+'D1. Member Months'!Q24))-1)</f>
        <v>1.7622600807287725E-4</v>
      </c>
      <c r="K111" s="469">
        <f>((1+I111)^12)-1</f>
        <v>2.7315586604974573E-3</v>
      </c>
      <c r="L111" s="469">
        <f>((1+J111)^12)-1</f>
        <v>2.1167629713598757E-3</v>
      </c>
    </row>
    <row r="112" spans="1:12" ht="13.5" thickTop="1" thickBot="1" x14ac:dyDescent="0.3">
      <c r="A112" s="4">
        <v>112</v>
      </c>
      <c r="B112" s="135" t="s">
        <v>314</v>
      </c>
      <c r="C112" s="22"/>
      <c r="I112" s="465">
        <f>(((H60/H17)^(1/+'D1. Member Months'!Q16))-1)</f>
        <v>2.4176690559407632E-4</v>
      </c>
      <c r="J112" s="465">
        <f>(((H99/H17)^(1/+'D1. Member Months'!Q24))-1)</f>
        <v>1.9090009649591622E-4</v>
      </c>
      <c r="K112" s="465">
        <f>((1+I112)^12)-1</f>
        <v>2.9050637593857065E-3</v>
      </c>
      <c r="L112" s="465">
        <f>((1+J112)^12)-1</f>
        <v>2.2932079170270292E-3</v>
      </c>
    </row>
    <row r="113" spans="1:9" ht="13.5" thickTop="1" thickBot="1" x14ac:dyDescent="0.3">
      <c r="A113" s="4">
        <v>113</v>
      </c>
      <c r="B113" s="144" t="s">
        <v>294</v>
      </c>
      <c r="C113" s="145"/>
      <c r="D113" s="145"/>
      <c r="E113" s="145"/>
      <c r="F113" s="145"/>
      <c r="G113" s="145"/>
      <c r="H113" s="146">
        <f>H48+H61</f>
        <v>1319119040.9651685</v>
      </c>
      <c r="I113" s="7"/>
    </row>
    <row r="114" spans="1:9" ht="13.5" thickTop="1" thickBot="1" x14ac:dyDescent="0.3">
      <c r="A114" s="4">
        <v>114</v>
      </c>
      <c r="B114" s="144" t="s">
        <v>509</v>
      </c>
      <c r="C114" s="145"/>
      <c r="D114" s="145"/>
      <c r="E114" s="145"/>
      <c r="F114" s="145"/>
      <c r="G114" s="145"/>
      <c r="H114" s="146">
        <f>H48+H61+H74+H87+H100</f>
        <v>3919046099.3056059</v>
      </c>
      <c r="I114" s="7"/>
    </row>
    <row r="115" spans="1:9" ht="13" thickTop="1" x14ac:dyDescent="0.25">
      <c r="A115" s="4">
        <v>115</v>
      </c>
      <c r="B115" s="403" t="s">
        <v>332</v>
      </c>
    </row>
    <row r="116" spans="1:9" x14ac:dyDescent="0.25">
      <c r="A116" s="4">
        <v>116</v>
      </c>
      <c r="B116" s="413" t="s">
        <v>333</v>
      </c>
    </row>
    <row r="117" spans="1:9" x14ac:dyDescent="0.25">
      <c r="A117" s="4">
        <v>117</v>
      </c>
      <c r="B117" s="420" t="s">
        <v>374</v>
      </c>
    </row>
    <row r="118" spans="1:9" x14ac:dyDescent="0.25">
      <c r="A118" s="4">
        <v>118</v>
      </c>
      <c r="B118" s="430" t="s">
        <v>334</v>
      </c>
    </row>
  </sheetData>
  <sheetProtection algorithmName="SHA-512" hashValue="ILjGzIRTs7Uq2NlfSMT2X2XMtwBX8bpc/Snk/G0f1qCfDXI8McsEUsu6xRyKUfoyu7xwO+5og7QpwIf/N3UJcA==" saltValue="K+YIb+f+1zoKH76lK9228w==" spinCount="100000" sheet="1" objects="1" scenarios="1"/>
  <phoneticPr fontId="0" type="noConversion"/>
  <printOptions horizontalCentered="1"/>
  <pageMargins left="0.25" right="0.25" top="1" bottom="0.5" header="0.75" footer="0.5"/>
  <pageSetup scale="32" orientation="portrait" horizontalDpi="360" r:id="rId1"/>
  <headerFooter alignWithMargins="0">
    <oddHeader xml:space="preserve">&amp;L&amp;"Arial,Bold"&amp;12State of &amp;C&amp;"Arial,Bold"&amp;12Appendix &amp;A&amp;R&amp;"Arial,Bold"&amp;12 </oddHeader>
    <oddFooter>&amp;L&amp;8'&amp;A'&amp;C&amp;8Page &amp;P of &amp;N&amp;R&amp;8&amp;F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75833A73B2D034FACC893D0EAA2E5CF" ma:contentTypeVersion="0" ma:contentTypeDescription="Create a new document." ma:contentTypeScope="" ma:versionID="191de6e6b998213bfd0fddfe7030c342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06e0e3112098b4d1518554ee266199a9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302D6E7-EC60-4A16-832F-145E14689AB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24543126-7CE1-49BA-B5A9-84928FD806C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28F4D6E-3CB1-44C1-BDB6-A0FACDC8E617}">
  <ds:schemaRefs>
    <ds:schemaRef ds:uri="http://purl.org/dc/dcmitype/"/>
    <ds:schemaRef ds:uri="http://purl.org/dc/terms/"/>
    <ds:schemaRef ds:uri="http://schemas.microsoft.com/office/2006/documentManagement/types"/>
    <ds:schemaRef ds:uri="http://www.w3.org/XML/1998/namespace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10</vt:i4>
      </vt:variant>
    </vt:vector>
  </HeadingPairs>
  <TitlesOfParts>
    <vt:vector size="18" baseType="lpstr">
      <vt:lpstr>D1. Member Months</vt:lpstr>
      <vt:lpstr>D2.S Services in Waiver Cost</vt:lpstr>
      <vt:lpstr>D2.A Admin in Waiver Cost</vt:lpstr>
      <vt:lpstr>D3. Actual Waiver Cost</vt:lpstr>
      <vt:lpstr>D4. Adjustments in Projection</vt:lpstr>
      <vt:lpstr>D5. Waiver Cost Projection</vt:lpstr>
      <vt:lpstr>D6. RO Targets</vt:lpstr>
      <vt:lpstr>D7. Summary</vt:lpstr>
      <vt:lpstr>'D2.S Services in Waiver Cost'!Print_Area</vt:lpstr>
      <vt:lpstr>'D3. Actual Waiver Cost'!Print_Area</vt:lpstr>
      <vt:lpstr>'D5. Waiver Cost Projection'!Print_Area</vt:lpstr>
      <vt:lpstr>'D6. RO Targets'!Print_Area</vt:lpstr>
      <vt:lpstr>'D7. Summary'!Print_Area</vt:lpstr>
      <vt:lpstr>'D2.S Services in Waiver Cost'!Print_Titles</vt:lpstr>
      <vt:lpstr>'D3. Actual Waiver Cost'!Print_Titles</vt:lpstr>
      <vt:lpstr>'D5. Waiver Cost Projection'!Print_Titles</vt:lpstr>
      <vt:lpstr>'D6. RO Targets'!Print_Titles</vt:lpstr>
      <vt:lpstr>'D7. Summary'!Print_Titles</vt:lpstr>
    </vt:vector>
  </TitlesOfParts>
  <Company>William M. Mercer,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JMcEnaney</dc:creator>
  <cp:lastModifiedBy>Riopelle, Brittany A (DHS)</cp:lastModifiedBy>
  <cp:lastPrinted>2011-04-05T16:18:51Z</cp:lastPrinted>
  <dcterms:created xsi:type="dcterms:W3CDTF">2003-01-13T17:58:53Z</dcterms:created>
  <dcterms:modified xsi:type="dcterms:W3CDTF">2024-05-13T19:25:31Z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