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Documents\DSD Evaluation and Research\2020 framework edits\"/>
    </mc:Choice>
  </mc:AlternateContent>
  <bookViews>
    <workbookView xWindow="-36" yWindow="-36" windowWidth="9060" windowHeight="2940" tabRatio="871"/>
  </bookViews>
  <sheets>
    <sheet name="Direct Staffing" sheetId="10" r:id="rId1"/>
    <sheet name="Program Plan Support" sheetId="5" r:id="rId2"/>
    <sheet name="Emp. Related Exp." sheetId="3" r:id="rId3"/>
    <sheet name="Client Programming &amp; Supports" sheetId="11" r:id="rId4"/>
    <sheet name="Program Facility" sheetId="14" r:id="rId5"/>
    <sheet name="Program Related Expenses" sheetId="6" r:id="rId6"/>
    <sheet name="Regional Variance Factor" sheetId="16" r:id="rId7"/>
    <sheet name="Prevoc Rate Framework" sheetId="9" r:id="rId8"/>
    <sheet name="Version" sheetId="15" state="hidden" r:id="rId9"/>
  </sheets>
  <definedNames>
    <definedName name="Budget_Neutrality">'Prevoc Rate Framework'!$A$26:$B$27</definedName>
    <definedName name="columntitleregion1.b14.g20.1">'Direct Staffing'!$A$17:$F$19</definedName>
    <definedName name="Customization">'Direct Staffing'!$A$16:$F$19</definedName>
    <definedName name="DirectStaff">'Direct Staffing'!$A$8:$F$10</definedName>
    <definedName name="LPN_Units">'Direct Staffing'!$A$21:$D$23</definedName>
    <definedName name="_xlnm.Print_Area" localSheetId="1">'Program Plan Support'!$A$1:$C$9</definedName>
    <definedName name="Relief_Staff">'Direct Staffing'!$A$29:$D$31</definedName>
    <definedName name="RN_Units">'Direct Staffing'!$A$25:$D$27</definedName>
    <definedName name="Supervision">'Direct Staffing'!$A$12:$F$14</definedName>
    <definedName name="titleregion1.b5.g6.1">'Direct Staffing'!$A$9:$F$10</definedName>
    <definedName name="titleregion2.b9.g11.1">'Direct Staffing'!$A$13:$F$14</definedName>
    <definedName name="TotalStaffing">'Direct Staffing'!$A$33:$C$34</definedName>
  </definedNames>
  <calcPr calcId="152511"/>
</workbook>
</file>

<file path=xl/calcChain.xml><?xml version="1.0" encoding="utf-8"?>
<calcChain xmlns="http://schemas.openxmlformats.org/spreadsheetml/2006/main">
  <c r="F10" i="10" l="1"/>
  <c r="E10" i="10" l="1"/>
  <c r="C6" i="10" l="1"/>
  <c r="C10" i="10" l="1"/>
  <c r="C27" i="10" l="1"/>
  <c r="D27" i="10"/>
  <c r="B7" i="16"/>
  <c r="B22" i="9"/>
  <c r="B30" i="9"/>
  <c r="D24" i="9"/>
  <c r="B24" i="9" s="1"/>
  <c r="G29" i="9" s="1"/>
  <c r="G27" i="9"/>
  <c r="B5" i="16"/>
  <c r="C23" i="10"/>
  <c r="D23" i="10"/>
  <c r="D18" i="10"/>
  <c r="E18" i="10" s="1"/>
  <c r="F18" i="10" s="1"/>
  <c r="E14" i="10"/>
  <c r="F14" i="10" s="1"/>
  <c r="I7" i="10"/>
  <c r="B5" i="14"/>
  <c r="G28" i="9"/>
  <c r="I16" i="10"/>
  <c r="I15" i="10"/>
  <c r="I14" i="10"/>
  <c r="I13" i="10"/>
  <c r="I12" i="10"/>
  <c r="I11" i="10"/>
  <c r="I10" i="10"/>
  <c r="I9" i="10"/>
  <c r="I8" i="10"/>
  <c r="C9" i="11"/>
  <c r="B13" i="9"/>
  <c r="E8" i="6"/>
  <c r="B19" i="9"/>
  <c r="B7" i="9"/>
  <c r="C19" i="3"/>
  <c r="B10" i="9"/>
  <c r="A5" i="14"/>
  <c r="D22" i="9"/>
  <c r="B27" i="9"/>
  <c r="B33" i="9"/>
  <c r="B36" i="9"/>
  <c r="B39" i="9"/>
  <c r="B42" i="9"/>
  <c r="B45" i="9"/>
  <c r="B48" i="9"/>
  <c r="D31" i="10" l="1"/>
  <c r="C34" i="10" s="1"/>
  <c r="B4" i="9" s="1"/>
  <c r="D4" i="9" s="1"/>
  <c r="D7" i="9" s="1"/>
  <c r="C5" i="14"/>
  <c r="B16" i="9" s="1"/>
  <c r="D16" i="9" s="1"/>
  <c r="D10" i="9" l="1"/>
  <c r="D13" i="9" s="1"/>
  <c r="E19" i="9" l="1"/>
  <c r="D19" i="9" s="1"/>
</calcChain>
</file>

<file path=xl/sharedStrings.xml><?xml version="1.0" encoding="utf-8"?>
<sst xmlns="http://schemas.openxmlformats.org/spreadsheetml/2006/main" count="355" uniqueCount="255">
  <si>
    <t>Direct Care Staffing:</t>
  </si>
  <si>
    <t>1:1</t>
  </si>
  <si>
    <t>1:2</t>
  </si>
  <si>
    <t>Staff Type</t>
  </si>
  <si>
    <t>Staffing Ratio</t>
  </si>
  <si>
    <t>Wage</t>
  </si>
  <si>
    <t>Units</t>
  </si>
  <si>
    <t>Total cost</t>
  </si>
  <si>
    <t>Pro-rated cost of staff per Unit</t>
  </si>
  <si>
    <t>1:3</t>
  </si>
  <si>
    <t>Direct Staff</t>
  </si>
  <si>
    <t>1:4</t>
  </si>
  <si>
    <t>1:5</t>
  </si>
  <si>
    <t>1:6</t>
  </si>
  <si>
    <t>Direct Staff Supervision</t>
  </si>
  <si>
    <t>Supervision Percent</t>
  </si>
  <si>
    <t>Supervision Units</t>
  </si>
  <si>
    <t>Total cost per Unit</t>
  </si>
  <si>
    <t>1:7</t>
  </si>
  <si>
    <t>1:8</t>
  </si>
  <si>
    <t>1:9</t>
  </si>
  <si>
    <t>1:10</t>
  </si>
  <si>
    <t>Staffing Customization Options</t>
  </si>
  <si>
    <t>Add-on $</t>
  </si>
  <si>
    <t>Add-on Choice</t>
  </si>
  <si>
    <t>Total  Units</t>
  </si>
  <si>
    <t>Total Cost per Unit</t>
  </si>
  <si>
    <t>Staffing Customization Amount per Unit</t>
  </si>
  <si>
    <t>No Customization</t>
  </si>
  <si>
    <t>Deaf or hard of hearing</t>
  </si>
  <si>
    <t>LPN Units</t>
  </si>
  <si>
    <t>LPN Unit Wage</t>
  </si>
  <si>
    <t>LPN Amount</t>
  </si>
  <si>
    <t>LPN</t>
  </si>
  <si>
    <t>RN Units</t>
  </si>
  <si>
    <t>RN Unit Wage</t>
  </si>
  <si>
    <t>RN Amount</t>
  </si>
  <si>
    <t>RN</t>
  </si>
  <si>
    <t>Percentage of direct care to cover staffing benefits</t>
  </si>
  <si>
    <t>Dollar Amount</t>
  </si>
  <si>
    <t>Percentage for Direct Care Staffing</t>
  </si>
  <si>
    <t>Total Individual Staffing Amount</t>
  </si>
  <si>
    <t xml:space="preserve">Program Plan Support </t>
  </si>
  <si>
    <t>Step 1. Determine components of program plan support</t>
  </si>
  <si>
    <t>Program plan support definition and components included in the program support percentage</t>
  </si>
  <si>
    <t>Documentation</t>
  </si>
  <si>
    <t>Direct staff preparation and service planning</t>
  </si>
  <si>
    <t>Collateral contact related to direct service</t>
  </si>
  <si>
    <t>Total % of program support</t>
  </si>
  <si>
    <t xml:space="preserve">  </t>
  </si>
  <si>
    <t xml:space="preserve">         </t>
  </si>
  <si>
    <t xml:space="preserve">                                                                                                  </t>
  </si>
  <si>
    <t>Employee Related Expense</t>
  </si>
  <si>
    <t>Step 1. Add in standard employment related expense percentage</t>
  </si>
  <si>
    <t>Employee Related Expense Description</t>
  </si>
  <si>
    <t xml:space="preserve">Benefit % </t>
  </si>
  <si>
    <t>Taxes &amp; Workers Comp</t>
  </si>
  <si>
    <t>(including FICA, FUTA, SUTA, Workers Comp, Medicare tax)</t>
  </si>
  <si>
    <t>Other Benefits (could include but not limited to:)</t>
  </si>
  <si>
    <t>Health insurance</t>
  </si>
  <si>
    <t>Dental insurance</t>
  </si>
  <si>
    <t>Vision</t>
  </si>
  <si>
    <t>Life insurance</t>
  </si>
  <si>
    <t>Short-term disability insurance</t>
  </si>
  <si>
    <t>Long-term disability insurance</t>
  </si>
  <si>
    <t>Retirement</t>
  </si>
  <si>
    <t>Tuition reimbursement</t>
  </si>
  <si>
    <t>Wellness program</t>
  </si>
  <si>
    <t>* Total Employee Related Expense Percentage</t>
  </si>
  <si>
    <t>* percentage of direct staffing costs</t>
  </si>
  <si>
    <t>Client Programming and Supports</t>
  </si>
  <si>
    <t>Step 1. Add in standard client programming and supports percentage</t>
  </si>
  <si>
    <t>Benefit Description</t>
  </si>
  <si>
    <t>Standard %</t>
  </si>
  <si>
    <t>Step 2. Total Client Programming and Supports percentage</t>
  </si>
  <si>
    <t>Total Percentage</t>
  </si>
  <si>
    <t>Total %</t>
  </si>
  <si>
    <t>Total Client Programming and Supports percentage</t>
  </si>
  <si>
    <t>Program Facility</t>
  </si>
  <si>
    <t>Step 1: Calculate a flat rate/person based on staffing ratio</t>
  </si>
  <si>
    <t>Rate per person per Unit</t>
  </si>
  <si>
    <t>Unit Facility Cost</t>
  </si>
  <si>
    <t>Program Related Expenses</t>
  </si>
  <si>
    <t>Step 1. Add in standard general and administrative support percentage</t>
  </si>
  <si>
    <t>General and Administrative Support %</t>
  </si>
  <si>
    <t>%</t>
  </si>
  <si>
    <t>Standard G&amp;A</t>
  </si>
  <si>
    <t>Program G&amp;A</t>
  </si>
  <si>
    <t>Utilization Factor</t>
  </si>
  <si>
    <t>Total Program Related Expenses percentage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</si>
  <si>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</si>
  <si>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</si>
  <si>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</si>
  <si>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</si>
  <si>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</si>
  <si>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</si>
  <si>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</si>
  <si>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</si>
  <si>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</si>
  <si>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</si>
  <si>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</si>
  <si>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</si>
  <si>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</si>
  <si>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</si>
  <si>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</si>
  <si>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</si>
  <si>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</si>
  <si>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</si>
  <si>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</si>
  <si>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</si>
  <si>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</si>
  <si>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</si>
  <si>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</si>
  <si>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</si>
  <si>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</si>
  <si>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</si>
  <si>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</si>
  <si>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</si>
  <si>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</si>
  <si>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</si>
  <si>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</si>
  <si>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</si>
  <si>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</si>
  <si>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</si>
  <si>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</si>
  <si>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</si>
  <si>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</si>
  <si>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</si>
  <si>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</si>
  <si>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</si>
  <si>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</si>
  <si>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</si>
  <si>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</si>
  <si>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</si>
  <si>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</si>
  <si>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</si>
  <si>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</si>
  <si>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</si>
  <si>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</si>
  <si>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</si>
  <si>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</si>
  <si>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</si>
  <si>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</si>
  <si>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</si>
  <si>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</si>
  <si>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</si>
  <si>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</si>
  <si>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</si>
  <si>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</si>
  <si>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</si>
  <si>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</si>
  <si>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</si>
  <si>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Mc Leod</t>
  </si>
  <si>
    <t>Mahnomen</t>
  </si>
  <si>
    <t>Marshall</t>
  </si>
  <si>
    <t>Martin</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</si>
  <si>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</si>
  <si>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</si>
  <si>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</si>
  <si>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</si>
  <si>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</si>
  <si>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</si>
  <si>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</si>
  <si>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</si>
  <si>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</si>
  <si>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</si>
  <si>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</si>
  <si>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</si>
  <si>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</si>
  <si>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</si>
  <si>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</si>
  <si>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</si>
  <si>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</si>
  <si>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</si>
  <si>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</si>
  <si>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</si>
  <si>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</si>
  <si>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</si>
  <si>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</si>
  <si>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St. Louis</t>
  </si>
  <si>
    <t>Scott</t>
  </si>
  <si>
    <t>Sherburne</t>
  </si>
  <si>
    <t>Sibley</t>
  </si>
  <si>
    <t>Stearns</t>
  </si>
  <si>
    <t>Steele</t>
  </si>
  <si>
    <t>Stevens</t>
  </si>
  <si>
    <t>Swift</t>
  </si>
  <si>
    <t>Todd</t>
  </si>
  <si>
    <t>Traverse</t>
  </si>
  <si>
    <t>Wabasha</t>
  </si>
  <si>
    <t>Wadena</t>
  </si>
  <si>
    <t>Waseca</t>
  </si>
  <si>
    <t>Washington</t>
  </si>
  <si>
    <t>Watonwan</t>
  </si>
  <si>
    <t>Wilkin</t>
  </si>
  <si>
    <t>Winona</t>
  </si>
  <si>
    <t>Wright</t>
  </si>
  <si>
    <t>Yellow Medicine</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</si>
  <si>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</si>
  <si>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</si>
  <si>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</si>
  <si>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</si>
  <si>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</si>
  <si>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</si>
  <si>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</si>
  <si>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</si>
  <si>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</si>
  <si>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</si>
  <si>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</si>
  <si>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Direct Staffing</t>
  </si>
  <si>
    <t>Rate Calculation:</t>
  </si>
  <si>
    <t>Total costs for staffing per unit</t>
  </si>
  <si>
    <t>Program Support</t>
  </si>
  <si>
    <t>Program Support standard</t>
  </si>
  <si>
    <t>Employee Related Expenses</t>
  </si>
  <si>
    <t>Total Benefit Percentage</t>
  </si>
  <si>
    <t>Client Programming and Supports Standard</t>
  </si>
  <si>
    <t>Program Facility cost</t>
  </si>
  <si>
    <t>G&amp;A</t>
  </si>
  <si>
    <t>Total G&amp;A Standard</t>
  </si>
  <si>
    <t>Regional Variance</t>
  </si>
  <si>
    <t>Regional Variance Factor</t>
  </si>
  <si>
    <t>Unit Rate</t>
  </si>
  <si>
    <t>Budget Neutrality Factor</t>
  </si>
  <si>
    <t>Unit Budget Neutrality</t>
  </si>
  <si>
    <t>Final Unit Rate</t>
  </si>
  <si>
    <t>Original Total Unit Rate</t>
  </si>
  <si>
    <t>4/1/2014 COLA</t>
  </si>
  <si>
    <t>Cost of Living Adjustment</t>
  </si>
  <si>
    <t>Post 4/1/14 COLA Rate</t>
  </si>
  <si>
    <t>Post COLA Total Unit Rate</t>
  </si>
  <si>
    <t>7/1/2014 COLA</t>
  </si>
  <si>
    <t>Post 7/1/14 COLA Rate</t>
  </si>
  <si>
    <t>7/1/2015 COLA</t>
  </si>
  <si>
    <t>Post 7/1/15 COLA Rate</t>
  </si>
  <si>
    <t>Version 11</t>
  </si>
  <si>
    <t>Direct service staff necessary to support and related to the provision of Prevocational services when not engaged in direct contact with clients.</t>
  </si>
  <si>
    <t xml:space="preserve">Category to cover costs to provide participants access to the community or care in their program.  Examples include, but are not limited to:
- Participation costs for staff   
- Reinforcers as defined in the participant’s support plan 
- Transportation provided as part of Prevocational Services to provide in-program transportation for the participant to increase access to the community outside the Prevocational services location                                                                 - State plan or other available waiver services must be accessed first, and those services must be billed separately.
</t>
  </si>
  <si>
    <t>FRAMEWORK FOR PREVOCATIONAL SERVICES</t>
  </si>
  <si>
    <t>Initial version</t>
  </si>
  <si>
    <t>Version 12</t>
  </si>
  <si>
    <t>Initial Version</t>
  </si>
  <si>
    <t>Added Competitive Workforce Factor</t>
  </si>
  <si>
    <t>Step 1. Determine wage for direct care worker</t>
  </si>
  <si>
    <t>Base hourly wage</t>
  </si>
  <si>
    <t>Competitive Workforce Factor (CWF)</t>
  </si>
  <si>
    <t>Total wage per hour of service</t>
  </si>
  <si>
    <t>CWF Wage</t>
  </si>
  <si>
    <t xml:space="preserve">Step 2. Add wage for direct staff </t>
  </si>
  <si>
    <t>Step 3. Add hours for Supervision</t>
  </si>
  <si>
    <t>Step 4. Add staffing customization option to meet high level needs provided to an individual</t>
  </si>
  <si>
    <t>Step 5. Add LPN Units</t>
  </si>
  <si>
    <t>Step 6. Add RN Units</t>
  </si>
  <si>
    <t>Step 7. Add % to cover vacation, sick and training for individual direct staff hours</t>
  </si>
  <si>
    <t>Step 8. Calculate daily individual staffing</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</si>
</sst>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_(* #,##0_);_(* \(#,##0\);_(* &quot;-&quot;??_);_(@_)"/>
    <numFmt numFmtId="165" formatCode="0.0%"/>
    <numFmt numFmtId="166" formatCode="0.000"/>
    <numFmt numFmtId="167" formatCode="_(&quot;$&quot;* #,##0.000_);_(&quot;$&quot;* \(#,##0.000\);_(&quot;$&quot;* &quot;-&quot;??_);_(@_)"/>
  </numFmts>
  <fonts count="11" x14ac:knownFonts="1">
    <font>
      <sz val="10"/>
      <name val="Arial"/>
    </font>
    <font>
      <sz val="10"/>
      <name val="Arial"/>
      <family val="2"/>
    </font>
    <font>
      <sz val="8"/>
      <name val="Arial"/>
      <family val="2"/>
    </font>
    <font>
      <b/>
      <sz val="10"/>
      <name val="Arial"/>
      <family val="2"/>
    </font>
    <font>
      <b/>
      <i/>
      <sz val="12"/>
      <name val="Arial"/>
      <family val="2"/>
    </font>
    <font>
      <sz val="10"/>
      <color indexed="9"/>
      <name val="Arial"/>
      <family val="2"/>
    </font>
    <font>
      <b/>
      <sz val="11"/>
      <color rgb="FF000000"/>
      <name val="Calibri"/>
      <family val="2"/>
      <scheme val="minor"/>
    </font>
    <font>
      <sz val="11"/>
      <color rgb="FF000000"/>
      <name val="Calibri"/>
      <family val="2"/>
      <scheme val="minor"/>
    </font>
    <font>
      <sz val="10"/>
      <color theme="0"/>
      <name val="Arial"/>
      <family val="2"/>
    </font>
    <font>
      <sz val="10"/>
      <color theme="1"/>
      <name val="Arial"/>
      <family val="2"/>
    </font>
    <font>
      <b/>
      <sz val="10"/>
      <color theme="1"/>
      <name val="Arial"/>
      <family val="2"/>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9"/>
        <bgColor indexed="9"/>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9"/>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cellStyleXfs>
  <cellXfs count="193">
    <xf numFmtId="0" fontId="0" fillId="0" borderId="0" xfId="0"/>
    <xf numFmtId="0" fontId="0" fillId="2" borderId="0" xfId="0" applyFill="1"/>
    <xf numFmtId="0" fontId="0" fillId="2" borderId="0" xfId="0" applyFill="1" applyBorder="1"/>
    <xf numFmtId="44" fontId="1" fillId="3" borderId="1" xfId="2" applyFont="1" applyFill="1" applyBorder="1"/>
    <xf numFmtId="164" fontId="1" fillId="3" borderId="1" xfId="1" applyNumberFormat="1" applyFont="1" applyFill="1" applyBorder="1" applyAlignment="1">
      <alignment horizontal="center" wrapText="1"/>
    </xf>
    <xf numFmtId="0" fontId="3" fillId="2" borderId="0" xfId="0" applyFont="1" applyFill="1"/>
    <xf numFmtId="44" fontId="1" fillId="2" borderId="0" xfId="2" applyFont="1" applyFill="1" applyBorder="1" applyAlignment="1">
      <alignment horizontal="right" vertical="top"/>
    </xf>
    <xf numFmtId="164" fontId="1" fillId="2" borderId="0" xfId="1" applyNumberFormat="1" applyFont="1" applyFill="1" applyBorder="1" applyAlignment="1">
      <alignment horizontal="right" vertical="top"/>
    </xf>
    <xf numFmtId="0" fontId="3" fillId="2" borderId="0" xfId="0" applyFont="1" applyFill="1" applyBorder="1" applyAlignment="1">
      <alignment horizontal="left"/>
    </xf>
    <xf numFmtId="44" fontId="1" fillId="2" borderId="1" xfId="2" applyFont="1" applyFill="1" applyBorder="1"/>
    <xf numFmtId="0" fontId="0" fillId="2" borderId="2" xfId="0" applyFill="1" applyBorder="1"/>
    <xf numFmtId="0" fontId="0" fillId="2" borderId="3" xfId="0" applyFill="1" applyBorder="1"/>
    <xf numFmtId="0" fontId="0" fillId="2" borderId="4" xfId="0" applyFill="1" applyBorder="1"/>
    <xf numFmtId="44" fontId="1" fillId="3" borderId="1" xfId="2" applyFont="1" applyFill="1" applyBorder="1" applyAlignment="1">
      <alignment horizontal="center" wrapText="1"/>
    </xf>
    <xf numFmtId="0" fontId="0" fillId="2" borderId="5" xfId="0" applyFill="1" applyBorder="1"/>
    <xf numFmtId="44" fontId="1" fillId="0" borderId="1" xfId="2" applyFont="1" applyFill="1" applyBorder="1" applyAlignment="1">
      <alignment horizontal="right" vertical="top"/>
    </xf>
    <xf numFmtId="44" fontId="1" fillId="0" borderId="1" xfId="2" applyFont="1" applyFill="1" applyBorder="1"/>
    <xf numFmtId="0" fontId="0" fillId="2" borderId="7" xfId="0" applyFill="1" applyBorder="1"/>
    <xf numFmtId="164" fontId="0" fillId="3" borderId="1" xfId="1" applyNumberFormat="1" applyFont="1" applyFill="1" applyBorder="1"/>
    <xf numFmtId="9" fontId="3" fillId="3" borderId="1" xfId="0" applyNumberFormat="1" applyFont="1" applyFill="1" applyBorder="1" applyAlignment="1">
      <alignment horizontal="right"/>
    </xf>
    <xf numFmtId="164" fontId="1" fillId="3" borderId="1" xfId="1" applyNumberFormat="1" applyFont="1" applyFill="1" applyBorder="1" applyAlignment="1">
      <alignment horizontal="center"/>
    </xf>
    <xf numFmtId="44" fontId="1" fillId="3" borderId="1" xfId="2" applyFont="1" applyFill="1" applyBorder="1" applyAlignment="1">
      <alignment horizontal="center"/>
    </xf>
    <xf numFmtId="0" fontId="0" fillId="3" borderId="8" xfId="0" applyFill="1" applyBorder="1" applyAlignment="1">
      <alignment wrapText="1"/>
    </xf>
    <xf numFmtId="20" fontId="0" fillId="2" borderId="1" xfId="0" quotePrefix="1" applyNumberFormat="1" applyFill="1" applyBorder="1" applyAlignment="1">
      <alignment horizontal="center"/>
    </xf>
    <xf numFmtId="44" fontId="0" fillId="2" borderId="1" xfId="2" applyFont="1" applyFill="1" applyBorder="1" applyAlignment="1">
      <alignment vertical="top"/>
    </xf>
    <xf numFmtId="0" fontId="5" fillId="2" borderId="0" xfId="0" applyFont="1" applyFill="1"/>
    <xf numFmtId="0" fontId="4" fillId="4" borderId="0" xfId="0" applyFont="1" applyFill="1"/>
    <xf numFmtId="0" fontId="0" fillId="4" borderId="0" xfId="0" applyFill="1"/>
    <xf numFmtId="0" fontId="5" fillId="4" borderId="0" xfId="0" applyFont="1" applyFill="1"/>
    <xf numFmtId="0" fontId="3" fillId="4" borderId="0" xfId="0" applyFont="1" applyFill="1"/>
    <xf numFmtId="0" fontId="0" fillId="4" borderId="1" xfId="0" applyFill="1" applyBorder="1"/>
    <xf numFmtId="44" fontId="0" fillId="4" borderId="1" xfId="0" applyNumberFormat="1" applyFill="1" applyBorder="1"/>
    <xf numFmtId="0" fontId="3" fillId="4" borderId="1" xfId="0" applyFont="1" applyFill="1" applyBorder="1"/>
    <xf numFmtId="165" fontId="3" fillId="2" borderId="1" xfId="3" applyNumberFormat="1" applyFont="1" applyFill="1" applyBorder="1" applyAlignment="1">
      <alignment horizontal="left" indent="4"/>
    </xf>
    <xf numFmtId="10" fontId="3" fillId="2" borderId="1" xfId="0" applyNumberFormat="1" applyFont="1" applyFill="1" applyBorder="1"/>
    <xf numFmtId="10" fontId="0" fillId="2" borderId="1" xfId="3" applyNumberFormat="1" applyFont="1" applyFill="1" applyBorder="1"/>
    <xf numFmtId="165" fontId="0" fillId="4" borderId="1" xfId="0" applyNumberFormat="1" applyFill="1" applyBorder="1"/>
    <xf numFmtId="0" fontId="1" fillId="2" borderId="9" xfId="0" quotePrefix="1" applyFont="1" applyFill="1" applyBorder="1" applyAlignment="1">
      <alignment horizontal="right"/>
    </xf>
    <xf numFmtId="0" fontId="1" fillId="2" borderId="10" xfId="0" quotePrefix="1" applyFont="1" applyFill="1" applyBorder="1" applyAlignment="1">
      <alignment horizontal="right"/>
    </xf>
    <xf numFmtId="0" fontId="1" fillId="3" borderId="6" xfId="0" applyFont="1" applyFill="1" applyBorder="1" applyAlignment="1"/>
    <xf numFmtId="0" fontId="1" fillId="2" borderId="6" xfId="0" applyFont="1" applyFill="1" applyBorder="1" applyAlignment="1"/>
    <xf numFmtId="0" fontId="1" fillId="0" borderId="1" xfId="1" applyNumberFormat="1" applyFont="1" applyFill="1" applyBorder="1" applyAlignment="1" applyProtection="1">
      <alignment horizontal="right" vertical="top"/>
    </xf>
    <xf numFmtId="0" fontId="1" fillId="5" borderId="1" xfId="0" applyFont="1" applyFill="1" applyBorder="1"/>
    <xf numFmtId="9" fontId="1" fillId="0" borderId="1" xfId="1" applyNumberFormat="1" applyFont="1" applyFill="1" applyBorder="1" applyAlignment="1" applyProtection="1">
      <alignment horizontal="right" vertical="top"/>
    </xf>
    <xf numFmtId="0" fontId="1" fillId="4" borderId="1" xfId="0" applyFont="1" applyFill="1" applyBorder="1"/>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1" fillId="3" borderId="11" xfId="0" applyFont="1" applyFill="1" applyBorder="1" applyAlignment="1">
      <alignment horizontal="right" wrapText="1"/>
    </xf>
    <xf numFmtId="0" fontId="1" fillId="4" borderId="6" xfId="0" applyFont="1" applyFill="1" applyBorder="1" applyAlignment="1"/>
    <xf numFmtId="0" fontId="1" fillId="2" borderId="12" xfId="0" quotePrefix="1" applyNumberFormat="1" applyFont="1" applyFill="1" applyBorder="1" applyAlignment="1">
      <alignment horizontal="right"/>
    </xf>
    <xf numFmtId="0" fontId="1" fillId="2" borderId="13" xfId="0" quotePrefix="1" applyNumberFormat="1" applyFont="1" applyFill="1" applyBorder="1" applyAlignment="1">
      <alignment horizontal="right"/>
    </xf>
    <xf numFmtId="0" fontId="1" fillId="2" borderId="0" xfId="0" applyFont="1" applyFill="1"/>
    <xf numFmtId="20" fontId="1" fillId="3" borderId="14" xfId="0" quotePrefix="1" applyNumberFormat="1" applyFont="1" applyFill="1" applyBorder="1" applyAlignment="1">
      <alignment horizontal="right"/>
    </xf>
    <xf numFmtId="0" fontId="1" fillId="3" borderId="15" xfId="0" quotePrefix="1" applyNumberFormat="1" applyFont="1" applyFill="1" applyBorder="1" applyAlignment="1">
      <alignment horizontal="right"/>
    </xf>
    <xf numFmtId="0" fontId="1" fillId="3" borderId="16" xfId="0" applyFont="1" applyFill="1" applyBorder="1" applyAlignment="1">
      <alignment horizontal="right" indent="1"/>
    </xf>
    <xf numFmtId="20" fontId="1" fillId="3" borderId="9" xfId="0" quotePrefix="1" applyNumberFormat="1" applyFont="1" applyFill="1" applyBorder="1" applyAlignment="1">
      <alignment horizontal="right"/>
    </xf>
    <xf numFmtId="0" fontId="1" fillId="3" borderId="12" xfId="0" quotePrefix="1" applyNumberFormat="1" applyFont="1" applyFill="1" applyBorder="1" applyAlignment="1">
      <alignment horizontal="right"/>
    </xf>
    <xf numFmtId="0" fontId="1" fillId="3" borderId="17" xfId="0" applyFont="1" applyFill="1" applyBorder="1" applyAlignment="1">
      <alignment horizontal="right" indent="1"/>
    </xf>
    <xf numFmtId="0" fontId="1" fillId="3" borderId="1" xfId="0" applyFont="1" applyFill="1" applyBorder="1" applyAlignment="1">
      <alignment horizontal="left" wrapText="1"/>
    </xf>
    <xf numFmtId="20" fontId="1" fillId="3" borderId="18" xfId="0" quotePrefix="1" applyNumberFormat="1" applyFont="1" applyFill="1" applyBorder="1" applyAlignment="1">
      <alignment horizontal="right"/>
    </xf>
    <xf numFmtId="0" fontId="1" fillId="3" borderId="4" xfId="0" quotePrefix="1" applyNumberFormat="1" applyFont="1" applyFill="1" applyBorder="1" applyAlignment="1">
      <alignment horizontal="right"/>
    </xf>
    <xf numFmtId="0" fontId="1" fillId="3" borderId="19" xfId="0" applyFont="1" applyFill="1" applyBorder="1" applyAlignment="1">
      <alignment horizontal="right" indent="1"/>
    </xf>
    <xf numFmtId="0" fontId="1" fillId="2" borderId="6" xfId="0" applyFont="1" applyFill="1" applyBorder="1" applyAlignment="1">
      <alignment horizontal="left"/>
    </xf>
    <xf numFmtId="0" fontId="1" fillId="6" borderId="1" xfId="0" applyFont="1" applyFill="1" applyBorder="1" applyAlignment="1" applyProtection="1">
      <alignment horizontal="left"/>
      <protection locked="0"/>
    </xf>
    <xf numFmtId="20" fontId="1" fillId="2" borderId="9" xfId="0" quotePrefix="1" applyNumberFormat="1" applyFont="1" applyFill="1" applyBorder="1" applyAlignment="1">
      <alignment horizontal="right"/>
    </xf>
    <xf numFmtId="0" fontId="1" fillId="2" borderId="17" xfId="0" applyFont="1" applyFill="1" applyBorder="1" applyAlignment="1">
      <alignment horizontal="right" indent="1"/>
    </xf>
    <xf numFmtId="0" fontId="1" fillId="3" borderId="12" xfId="0" applyFont="1" applyFill="1" applyBorder="1" applyAlignment="1"/>
    <xf numFmtId="0" fontId="1" fillId="2" borderId="12" xfId="0" applyFont="1" applyFill="1" applyBorder="1" applyAlignment="1"/>
    <xf numFmtId="0" fontId="1" fillId="2" borderId="0" xfId="0" applyFont="1" applyFill="1" applyBorder="1" applyAlignment="1">
      <alignment horizontal="left"/>
    </xf>
    <xf numFmtId="0" fontId="1" fillId="2" borderId="20" xfId="0" applyFont="1" applyFill="1" applyBorder="1" applyAlignment="1">
      <alignment horizontal="right" indent="1"/>
    </xf>
    <xf numFmtId="44" fontId="1" fillId="5" borderId="1" xfId="2" applyFont="1" applyFill="1" applyBorder="1" applyAlignment="1">
      <alignment horizontal="right"/>
    </xf>
    <xf numFmtId="0" fontId="1" fillId="3" borderId="1" xfId="0" applyFont="1" applyFill="1" applyBorder="1"/>
    <xf numFmtId="10" fontId="1" fillId="2" borderId="6" xfId="3" applyNumberFormat="1" applyFont="1" applyFill="1" applyBorder="1" applyAlignment="1"/>
    <xf numFmtId="44" fontId="1" fillId="0" borderId="1" xfId="0" applyNumberFormat="1" applyFont="1" applyFill="1" applyBorder="1" applyAlignment="1"/>
    <xf numFmtId="44" fontId="1" fillId="2" borderId="0" xfId="2" applyFont="1" applyFill="1"/>
    <xf numFmtId="164" fontId="1" fillId="2" borderId="0" xfId="1" applyNumberFormat="1" applyFont="1" applyFill="1"/>
    <xf numFmtId="0" fontId="1" fillId="7" borderId="1" xfId="0" applyFont="1" applyFill="1" applyBorder="1"/>
    <xf numFmtId="0" fontId="1" fillId="6" borderId="1" xfId="0" applyFont="1" applyFill="1" applyBorder="1" applyProtection="1">
      <protection locked="0"/>
    </xf>
    <xf numFmtId="0" fontId="4" fillId="2" borderId="0" xfId="0" applyFont="1" applyFill="1" applyAlignment="1"/>
    <xf numFmtId="0" fontId="3" fillId="2" borderId="0" xfId="0" applyFont="1" applyFill="1" applyAlignment="1"/>
    <xf numFmtId="0" fontId="1" fillId="4" borderId="0" xfId="0" applyFont="1" applyFill="1" applyBorder="1"/>
    <xf numFmtId="0" fontId="0" fillId="0" borderId="0" xfId="0" applyAlignment="1">
      <alignment wrapText="1"/>
    </xf>
    <xf numFmtId="0" fontId="6" fillId="8" borderId="28" xfId="0" applyFont="1" applyFill="1" applyBorder="1" applyAlignment="1">
      <alignment vertical="center"/>
    </xf>
    <xf numFmtId="0" fontId="7" fillId="0" borderId="28" xfId="0" applyFont="1" applyBorder="1" applyAlignment="1">
      <alignment vertical="center"/>
    </xf>
    <xf numFmtId="0" fontId="0" fillId="0" borderId="28" xfId="0" applyFont="1" applyBorder="1" applyAlignment="1">
      <alignment vertical="top"/>
    </xf>
    <xf numFmtId="0" fontId="0" fillId="0" borderId="0" xfId="0" applyAlignment="1">
      <alignment horizontal="left"/>
    </xf>
    <xf numFmtId="0" fontId="6" fillId="8" borderId="28" xfId="0" applyFont="1" applyFill="1" applyBorder="1" applyAlignment="1">
      <alignment horizontal="left" vertical="center"/>
    </xf>
    <xf numFmtId="0" fontId="7" fillId="5" borderId="28" xfId="0" applyFont="1" applyFill="1" applyBorder="1" applyAlignment="1">
      <alignment vertical="center"/>
    </xf>
    <xf numFmtId="0" fontId="7" fillId="5" borderId="28" xfId="0" quotePrefix="1" applyFont="1" applyFill="1" applyBorder="1" applyAlignment="1">
      <alignment horizontal="left" vertical="center"/>
    </xf>
    <xf numFmtId="0" fontId="3" fillId="4" borderId="0" xfId="0" applyFont="1" applyFill="1" applyBorder="1"/>
    <xf numFmtId="0" fontId="1" fillId="4" borderId="0" xfId="0" applyFont="1" applyFill="1"/>
    <xf numFmtId="0" fontId="8" fillId="4" borderId="0" xfId="0" applyFont="1" applyFill="1"/>
    <xf numFmtId="166" fontId="0" fillId="0" borderId="28" xfId="0" applyNumberFormat="1" applyBorder="1"/>
    <xf numFmtId="44" fontId="0" fillId="9" borderId="0" xfId="0" applyNumberFormat="1" applyFill="1" applyBorder="1"/>
    <xf numFmtId="0" fontId="9" fillId="2" borderId="0" xfId="0" applyFont="1" applyFill="1"/>
    <xf numFmtId="0" fontId="9" fillId="4" borderId="0" xfId="0" applyFont="1" applyFill="1"/>
    <xf numFmtId="0" fontId="10" fillId="2" borderId="0" xfId="0" applyFont="1" applyFill="1"/>
    <xf numFmtId="44" fontId="9" fillId="4" borderId="0" xfId="0" applyNumberFormat="1" applyFont="1" applyFill="1"/>
    <xf numFmtId="44" fontId="9" fillId="4" borderId="0" xfId="2" applyFont="1" applyFill="1"/>
    <xf numFmtId="165" fontId="9" fillId="4" borderId="0" xfId="0" applyNumberFormat="1" applyFont="1" applyFill="1"/>
    <xf numFmtId="10" fontId="9" fillId="4" borderId="0" xfId="0" applyNumberFormat="1" applyFont="1" applyFill="1"/>
    <xf numFmtId="44" fontId="9" fillId="9" borderId="0" xfId="2" applyFont="1" applyFill="1"/>
    <xf numFmtId="44" fontId="8" fillId="9" borderId="0" xfId="0" applyNumberFormat="1" applyFont="1" applyFill="1"/>
    <xf numFmtId="44" fontId="1" fillId="0" borderId="1" xfId="2" applyNumberFormat="1" applyFont="1" applyFill="1" applyBorder="1"/>
    <xf numFmtId="44" fontId="0" fillId="2" borderId="1" xfId="2" quotePrefix="1" applyNumberFormat="1" applyFont="1" applyFill="1" applyBorder="1"/>
    <xf numFmtId="44" fontId="1" fillId="6" borderId="5" xfId="2" applyFont="1" applyFill="1" applyBorder="1" applyAlignment="1" applyProtection="1">
      <alignment vertical="top"/>
      <protection locked="0"/>
    </xf>
    <xf numFmtId="44" fontId="1" fillId="6" borderId="21" xfId="2" applyFont="1" applyFill="1" applyBorder="1" applyAlignment="1" applyProtection="1">
      <alignment vertical="top"/>
    </xf>
    <xf numFmtId="10" fontId="0" fillId="2" borderId="1" xfId="3" applyNumberFormat="1" applyFont="1" applyFill="1" applyBorder="1" applyAlignment="1">
      <alignment horizontal="right" vertical="top"/>
    </xf>
    <xf numFmtId="44" fontId="9" fillId="2" borderId="0" xfId="2" applyFont="1" applyFill="1"/>
    <xf numFmtId="0" fontId="7" fillId="0" borderId="29" xfId="0" applyFont="1" applyBorder="1" applyAlignment="1">
      <alignment vertical="center"/>
    </xf>
    <xf numFmtId="0" fontId="0" fillId="0" borderId="29" xfId="0" applyFont="1" applyBorder="1" applyAlignment="1">
      <alignment vertical="top"/>
    </xf>
    <xf numFmtId="166" fontId="0" fillId="0" borderId="29" xfId="0" applyNumberFormat="1" applyBorder="1"/>
    <xf numFmtId="0" fontId="0" fillId="5" borderId="1" xfId="0" applyFill="1" applyBorder="1"/>
    <xf numFmtId="166" fontId="0" fillId="5" borderId="1" xfId="0" applyNumberFormat="1" applyFill="1" applyBorder="1"/>
    <xf numFmtId="0" fontId="3" fillId="4" borderId="0" xfId="0" applyFont="1" applyFill="1" applyProtection="1">
      <protection hidden="1"/>
    </xf>
    <xf numFmtId="0" fontId="9" fillId="4" borderId="0" xfId="0" applyFont="1" applyFill="1" applyProtection="1">
      <protection hidden="1"/>
    </xf>
    <xf numFmtId="0" fontId="8" fillId="9" borderId="0" xfId="0" applyFont="1" applyFill="1" applyProtection="1">
      <protection hidden="1"/>
    </xf>
    <xf numFmtId="0" fontId="1" fillId="4" borderId="0" xfId="0" applyFont="1" applyFill="1" applyProtection="1">
      <protection hidden="1"/>
    </xf>
    <xf numFmtId="0" fontId="0" fillId="4" borderId="0" xfId="0" applyFill="1" applyProtection="1">
      <protection hidden="1"/>
    </xf>
    <xf numFmtId="0" fontId="1" fillId="4" borderId="1" xfId="0" applyFont="1" applyFill="1" applyBorder="1" applyProtection="1">
      <protection hidden="1"/>
    </xf>
    <xf numFmtId="44" fontId="0" fillId="9" borderId="1" xfId="0" applyNumberFormat="1" applyFill="1" applyBorder="1" applyProtection="1">
      <protection hidden="1"/>
    </xf>
    <xf numFmtId="167" fontId="9" fillId="4" borderId="0" xfId="0" applyNumberFormat="1" applyFont="1" applyFill="1" applyProtection="1">
      <protection hidden="1"/>
    </xf>
    <xf numFmtId="165" fontId="8" fillId="9" borderId="0" xfId="0" applyNumberFormat="1" applyFont="1" applyFill="1" applyProtection="1">
      <protection hidden="1"/>
    </xf>
    <xf numFmtId="0" fontId="1" fillId="4" borderId="0" xfId="0" applyFont="1" applyFill="1" applyBorder="1" applyProtection="1">
      <protection hidden="1"/>
    </xf>
    <xf numFmtId="44" fontId="0" fillId="4" borderId="0" xfId="0" applyNumberFormat="1" applyFill="1" applyBorder="1" applyProtection="1">
      <protection hidden="1"/>
    </xf>
    <xf numFmtId="44" fontId="9" fillId="4" borderId="0" xfId="2" applyFont="1" applyFill="1" applyProtection="1">
      <protection hidden="1"/>
    </xf>
    <xf numFmtId="0" fontId="9" fillId="2" borderId="0" xfId="0" applyFont="1" applyFill="1" applyProtection="1">
      <protection hidden="1"/>
    </xf>
    <xf numFmtId="0" fontId="0" fillId="0" borderId="0" xfId="0" applyProtection="1">
      <protection hidden="1"/>
    </xf>
    <xf numFmtId="0" fontId="0" fillId="0" borderId="0" xfId="0" applyAlignment="1" applyProtection="1">
      <alignment wrapText="1"/>
      <protection hidden="1"/>
    </xf>
    <xf numFmtId="14" fontId="0" fillId="0" borderId="0" xfId="0" applyNumberFormat="1" applyProtection="1">
      <protection hidden="1"/>
    </xf>
    <xf numFmtId="0" fontId="1" fillId="0" borderId="0" xfId="0" applyFont="1" applyProtection="1">
      <protection hidden="1"/>
    </xf>
    <xf numFmtId="0" fontId="1" fillId="3" borderId="6" xfId="0" applyFont="1" applyFill="1" applyBorder="1" applyAlignment="1">
      <alignment horizontal="left"/>
    </xf>
    <xf numFmtId="0" fontId="1" fillId="2" borderId="6" xfId="0" applyFont="1" applyFill="1" applyBorder="1" applyAlignment="1">
      <alignment vertical="top" wrapText="1"/>
    </xf>
    <xf numFmtId="0" fontId="1" fillId="2" borderId="1" xfId="0" applyFont="1" applyFill="1" applyBorder="1" applyAlignment="1">
      <alignment vertical="top" wrapText="1"/>
    </xf>
    <xf numFmtId="44" fontId="1" fillId="4" borderId="1" xfId="2" applyFont="1" applyFill="1" applyBorder="1"/>
    <xf numFmtId="165" fontId="1" fillId="4" borderId="1" xfId="2" applyNumberFormat="1" applyFont="1" applyFill="1" applyBorder="1" applyAlignment="1">
      <alignment vertical="top"/>
    </xf>
    <xf numFmtId="10" fontId="1" fillId="4" borderId="1" xfId="0" applyNumberFormat="1" applyFont="1" applyFill="1" applyBorder="1"/>
    <xf numFmtId="10" fontId="1" fillId="4" borderId="1" xfId="3" applyNumberFormat="1" applyFont="1" applyFill="1" applyBorder="1" applyAlignment="1">
      <alignment vertical="top"/>
    </xf>
    <xf numFmtId="0" fontId="1" fillId="4" borderId="0" xfId="0" applyFont="1" applyFill="1" applyBorder="1" applyAlignment="1"/>
    <xf numFmtId="10" fontId="1" fillId="4" borderId="0" xfId="3" applyNumberFormat="1" applyFont="1" applyFill="1" applyBorder="1" applyAlignment="1">
      <alignment vertical="top"/>
    </xf>
    <xf numFmtId="165" fontId="1" fillId="0" borderId="0" xfId="3" applyNumberFormat="1" applyFont="1" applyFill="1" applyProtection="1"/>
    <xf numFmtId="10" fontId="1" fillId="9" borderId="1" xfId="3" applyNumberFormat="1" applyFont="1" applyFill="1" applyBorder="1"/>
    <xf numFmtId="44" fontId="1" fillId="4" borderId="0" xfId="2" applyFont="1" applyFill="1" applyBorder="1"/>
    <xf numFmtId="165" fontId="1" fillId="0" borderId="0" xfId="3" applyNumberFormat="1" applyFont="1" applyFill="1" applyProtection="1">
      <protection hidden="1"/>
    </xf>
    <xf numFmtId="14" fontId="0" fillId="0" borderId="0" xfId="0" applyNumberFormat="1"/>
    <xf numFmtId="0" fontId="1" fillId="0" borderId="0" xfId="0" applyFont="1" applyAlignment="1">
      <alignment wrapText="1"/>
    </xf>
    <xf numFmtId="0" fontId="1" fillId="0" borderId="0" xfId="0" applyFont="1"/>
    <xf numFmtId="0" fontId="3" fillId="2" borderId="0" xfId="4" applyFont="1" applyFill="1"/>
    <xf numFmtId="44" fontId="1" fillId="0" borderId="1" xfId="2" applyFont="1" applyFill="1" applyBorder="1" applyAlignment="1" applyProtection="1">
      <alignment horizontal="right" vertical="top"/>
    </xf>
    <xf numFmtId="10" fontId="1" fillId="2" borderId="1" xfId="3" applyNumberFormat="1" applyFont="1" applyFill="1" applyBorder="1"/>
    <xf numFmtId="44" fontId="1" fillId="2" borderId="1" xfId="5" applyNumberFormat="1" applyFont="1" applyFill="1" applyBorder="1"/>
    <xf numFmtId="44" fontId="1" fillId="0" borderId="1" xfId="2" applyFont="1" applyFill="1" applyBorder="1" applyAlignment="1">
      <alignment horizontal="center" vertical="top"/>
    </xf>
    <xf numFmtId="9" fontId="1" fillId="2" borderId="6" xfId="3" applyFont="1" applyFill="1" applyBorder="1" applyAlignment="1">
      <alignment horizontal="left"/>
    </xf>
    <xf numFmtId="9" fontId="1" fillId="2" borderId="12" xfId="3" applyFont="1" applyFill="1" applyBorder="1" applyAlignment="1">
      <alignment horizontal="left"/>
    </xf>
    <xf numFmtId="0" fontId="1" fillId="3" borderId="6" xfId="0" applyFont="1" applyFill="1" applyBorder="1" applyAlignment="1">
      <alignment horizontal="left"/>
    </xf>
    <xf numFmtId="0" fontId="1" fillId="3" borderId="22" xfId="0" applyFont="1" applyFill="1" applyBorder="1" applyAlignment="1">
      <alignment horizontal="left"/>
    </xf>
    <xf numFmtId="0" fontId="1" fillId="5" borderId="6" xfId="4" applyFont="1" applyFill="1" applyBorder="1" applyAlignment="1">
      <alignment horizontal="left"/>
    </xf>
    <xf numFmtId="0" fontId="1" fillId="5" borderId="22" xfId="4" applyFont="1" applyFill="1" applyBorder="1" applyAlignment="1">
      <alignment horizontal="left"/>
    </xf>
    <xf numFmtId="0" fontId="1" fillId="0" borderId="5" xfId="1" applyNumberFormat="1" applyFont="1" applyFill="1" applyBorder="1" applyAlignment="1">
      <alignment horizontal="center" vertical="top" wrapText="1"/>
    </xf>
    <xf numFmtId="0" fontId="1" fillId="0" borderId="21" xfId="1" applyNumberFormat="1" applyFont="1" applyFill="1" applyBorder="1" applyAlignment="1">
      <alignment horizontal="center" vertical="top" wrapText="1"/>
    </xf>
    <xf numFmtId="0" fontId="1" fillId="0" borderId="0" xfId="1" applyNumberFormat="1" applyFont="1" applyFill="1" applyBorder="1" applyAlignment="1">
      <alignment horizontal="center" vertical="top" wrapText="1"/>
    </xf>
    <xf numFmtId="0" fontId="0" fillId="3" borderId="6" xfId="0" applyFill="1" applyBorder="1" applyAlignment="1">
      <alignment horizontal="left" wrapText="1"/>
    </xf>
    <xf numFmtId="0" fontId="0" fillId="3" borderId="12" xfId="0" applyFill="1" applyBorder="1" applyAlignment="1">
      <alignment horizontal="left" wrapText="1"/>
    </xf>
    <xf numFmtId="0" fontId="0" fillId="3" borderId="22" xfId="0" applyFill="1" applyBorder="1" applyAlignment="1">
      <alignment horizontal="left" wrapText="1"/>
    </xf>
    <xf numFmtId="0" fontId="3" fillId="2" borderId="6" xfId="0" applyFont="1" applyFill="1" applyBorder="1" applyAlignment="1">
      <alignment horizontal="left"/>
    </xf>
    <xf numFmtId="0" fontId="3" fillId="2" borderId="22" xfId="0" applyFont="1" applyFill="1" applyBorder="1" applyAlignment="1">
      <alignment horizontal="left"/>
    </xf>
    <xf numFmtId="0" fontId="1" fillId="2" borderId="23" xfId="0" applyFont="1" applyFill="1" applyBorder="1" applyAlignment="1">
      <alignment horizontal="left" wrapText="1"/>
    </xf>
    <xf numFmtId="0" fontId="0" fillId="2" borderId="24" xfId="0" applyFill="1" applyBorder="1" applyAlignment="1">
      <alignment horizontal="left" wrapText="1"/>
    </xf>
    <xf numFmtId="0" fontId="0" fillId="2" borderId="25" xfId="0" applyFill="1" applyBorder="1" applyAlignment="1">
      <alignment horizontal="left" wrapText="1"/>
    </xf>
    <xf numFmtId="0" fontId="0" fillId="2" borderId="23" xfId="0" applyFill="1" applyBorder="1" applyAlignment="1">
      <alignment horizontal="left"/>
    </xf>
    <xf numFmtId="0" fontId="0" fillId="2" borderId="24" xfId="0" applyFill="1" applyBorder="1" applyAlignment="1">
      <alignment horizontal="left"/>
    </xf>
    <xf numFmtId="10" fontId="0" fillId="2" borderId="7" xfId="3" applyNumberFormat="1" applyFont="1" applyFill="1" applyBorder="1" applyAlignment="1">
      <alignment horizontal="right" vertical="top"/>
    </xf>
    <xf numFmtId="10" fontId="0" fillId="2" borderId="5" xfId="3" applyNumberFormat="1" applyFont="1" applyFill="1" applyBorder="1" applyAlignment="1">
      <alignment horizontal="right" vertical="top"/>
    </xf>
    <xf numFmtId="10" fontId="0" fillId="2" borderId="21" xfId="3" applyNumberFormat="1" applyFont="1" applyFill="1" applyBorder="1" applyAlignment="1">
      <alignment horizontal="right" vertical="top"/>
    </xf>
    <xf numFmtId="0" fontId="0" fillId="3" borderId="6" xfId="0" applyFill="1" applyBorder="1" applyAlignment="1">
      <alignment horizontal="left"/>
    </xf>
    <xf numFmtId="0" fontId="0" fillId="3" borderId="22" xfId="0" applyFill="1" applyBorder="1" applyAlignment="1">
      <alignment horizontal="left"/>
    </xf>
    <xf numFmtId="0" fontId="0" fillId="2" borderId="26" xfId="0" applyFill="1" applyBorder="1" applyAlignment="1">
      <alignment horizontal="left" vertical="top" wrapText="1"/>
    </xf>
    <xf numFmtId="0" fontId="0" fillId="2" borderId="27" xfId="0" applyFill="1" applyBorder="1" applyAlignment="1">
      <alignment horizontal="left" vertical="top" wrapText="1"/>
    </xf>
    <xf numFmtId="0" fontId="0" fillId="2" borderId="6" xfId="0" applyFill="1" applyBorder="1" applyAlignment="1">
      <alignment horizontal="left" wrapText="1"/>
    </xf>
    <xf numFmtId="0" fontId="0" fillId="0" borderId="22" xfId="0" applyBorder="1" applyAlignment="1"/>
    <xf numFmtId="0" fontId="1" fillId="2" borderId="6" xfId="0" applyFont="1" applyFill="1" applyBorder="1" applyAlignment="1">
      <alignment horizontal="left" wrapText="1"/>
    </xf>
    <xf numFmtId="0" fontId="0" fillId="2" borderId="6" xfId="0" applyFill="1" applyBorder="1" applyAlignment="1">
      <alignment horizontal="left"/>
    </xf>
    <xf numFmtId="0" fontId="0" fillId="2" borderId="12" xfId="0" applyFill="1" applyBorder="1" applyAlignment="1">
      <alignment horizontal="left"/>
    </xf>
    <xf numFmtId="0" fontId="0" fillId="2" borderId="22" xfId="0" applyFill="1" applyBorder="1" applyAlignment="1">
      <alignment horizontal="left"/>
    </xf>
    <xf numFmtId="0" fontId="3" fillId="2" borderId="1" xfId="0" applyFont="1" applyFill="1" applyBorder="1" applyAlignment="1">
      <alignment horizontal="left"/>
    </xf>
    <xf numFmtId="0" fontId="3" fillId="3" borderId="1" xfId="0" applyFont="1" applyFill="1" applyBorder="1" applyAlignment="1">
      <alignment horizontal="left"/>
    </xf>
    <xf numFmtId="0" fontId="0" fillId="2" borderId="1" xfId="0" applyFill="1" applyBorder="1" applyAlignment="1">
      <alignment horizontal="left"/>
    </xf>
    <xf numFmtId="0" fontId="1" fillId="6" borderId="6" xfId="0" applyFont="1" applyFill="1" applyBorder="1" applyAlignment="1" applyProtection="1">
      <alignment horizontal="center"/>
      <protection locked="0"/>
    </xf>
    <xf numFmtId="0" fontId="1" fillId="6" borderId="12" xfId="0" applyFont="1" applyFill="1" applyBorder="1" applyAlignment="1" applyProtection="1">
      <alignment horizontal="center"/>
      <protection locked="0"/>
    </xf>
    <xf numFmtId="0" fontId="1" fillId="6" borderId="22" xfId="0" applyFont="1" applyFill="1" applyBorder="1" applyAlignment="1" applyProtection="1">
      <alignment horizontal="center"/>
      <protection locked="0"/>
    </xf>
    <xf numFmtId="0" fontId="1" fillId="5" borderId="6" xfId="0" applyFont="1" applyFill="1" applyBorder="1" applyAlignment="1">
      <alignment horizontal="center"/>
    </xf>
    <xf numFmtId="0" fontId="1" fillId="5" borderId="12" xfId="0" applyFont="1" applyFill="1" applyBorder="1" applyAlignment="1">
      <alignment horizontal="center"/>
    </xf>
    <xf numFmtId="0" fontId="1" fillId="5" borderId="22" xfId="0" applyFont="1" applyFill="1" applyBorder="1" applyAlignment="1">
      <alignment horizontal="center"/>
    </xf>
  </cellXfs>
  <cellStyles count="6">
    <cellStyle name="Comma" xfId="1" builtinId="3"/>
    <cellStyle name="Currency" xfId="2" builtinId="4"/>
    <cellStyle name="Currency 2" xfId="5"/>
    <cellStyle name="Normal" xfId="0" builtinId="0"/>
    <cellStyle name="Normal 2" xfId="4"/>
    <cellStyle name="Percent" xfId="3" builtin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tabSelected="1" zoomScale="93" zoomScaleNormal="93" workbookViewId="0"/>
  </sheetViews>
  <sheetFormatPr defaultColWidth="9.109375" defaultRowHeight="13.2" x14ac:dyDescent="0.25"/>
  <cols>
    <col min="1" max="1" width="30.5546875" style="51" customWidth="1"/>
    <col min="2" max="2" width="13" style="74" customWidth="1"/>
    <col min="3" max="3" width="14.109375" style="74" customWidth="1"/>
    <col min="4" max="4" width="14.6640625" style="75" customWidth="1"/>
    <col min="5" max="5" width="17.44140625" style="75" customWidth="1"/>
    <col min="6" max="6" width="17" style="74" customWidth="1"/>
    <col min="7" max="7" width="9.33203125" style="51" customWidth="1"/>
    <col min="8" max="11" width="9.109375" style="51" hidden="1" customWidth="1"/>
    <col min="12" max="13" width="9.109375" style="51" customWidth="1"/>
    <col min="14" max="16384" width="9.109375" style="51"/>
  </cols>
  <sheetData>
    <row r="1" spans="1:11" ht="15" customHeight="1" x14ac:dyDescent="0.3">
      <c r="A1" s="78" t="s">
        <v>0</v>
      </c>
      <c r="B1" s="51"/>
      <c r="C1" s="51"/>
      <c r="D1" s="51"/>
      <c r="E1" s="51"/>
      <c r="F1" s="51"/>
    </row>
    <row r="2" spans="1:11" ht="15" customHeight="1" x14ac:dyDescent="0.25">
      <c r="A2" s="79"/>
      <c r="B2" s="51"/>
      <c r="C2" s="51"/>
      <c r="D2" s="51"/>
      <c r="E2" s="51"/>
      <c r="F2" s="51"/>
    </row>
    <row r="3" spans="1:11" ht="15" customHeight="1" x14ac:dyDescent="0.25">
      <c r="A3" s="147" t="s">
        <v>243</v>
      </c>
      <c r="B3" s="147"/>
      <c r="C3" s="147"/>
      <c r="D3" s="51"/>
      <c r="E3" s="51"/>
      <c r="F3" s="51"/>
    </row>
    <row r="4" spans="1:11" ht="15" customHeight="1" x14ac:dyDescent="0.25">
      <c r="A4" s="156" t="s">
        <v>244</v>
      </c>
      <c r="B4" s="157"/>
      <c r="C4" s="148">
        <v>15.3</v>
      </c>
      <c r="D4" s="51"/>
      <c r="E4" s="51"/>
      <c r="F4" s="51"/>
    </row>
    <row r="5" spans="1:11" ht="15" customHeight="1" x14ac:dyDescent="0.25">
      <c r="A5" s="156" t="s">
        <v>245</v>
      </c>
      <c r="B5" s="157"/>
      <c r="C5" s="149">
        <v>4.7E-2</v>
      </c>
      <c r="D5" s="51"/>
      <c r="E5" s="51"/>
      <c r="F5" s="51"/>
    </row>
    <row r="6" spans="1:11" ht="15" customHeight="1" thickBot="1" x14ac:dyDescent="0.3">
      <c r="A6" s="156" t="s">
        <v>246</v>
      </c>
      <c r="B6" s="157"/>
      <c r="C6" s="150">
        <f>ROUND(C4*C5+C4,2)</f>
        <v>16.02</v>
      </c>
      <c r="D6" s="51"/>
      <c r="E6" s="51"/>
      <c r="F6" s="51"/>
    </row>
    <row r="7" spans="1:11" ht="15" customHeight="1" x14ac:dyDescent="0.25">
      <c r="B7" s="51"/>
      <c r="C7" s="51"/>
      <c r="D7" s="51"/>
      <c r="E7" s="51"/>
      <c r="F7" s="51"/>
      <c r="H7" s="52" t="s">
        <v>1</v>
      </c>
      <c r="I7" s="53">
        <f>1/1</f>
        <v>1</v>
      </c>
      <c r="J7" s="53">
        <v>1</v>
      </c>
      <c r="K7" s="54">
        <v>1</v>
      </c>
    </row>
    <row r="8" spans="1:11" ht="15" customHeight="1" x14ac:dyDescent="0.25">
      <c r="A8" s="5" t="s">
        <v>248</v>
      </c>
      <c r="B8" s="51"/>
      <c r="C8" s="51"/>
      <c r="D8" s="51"/>
      <c r="E8" s="51"/>
      <c r="F8" s="51"/>
      <c r="H8" s="55" t="s">
        <v>2</v>
      </c>
      <c r="I8" s="56">
        <f>1/0.548</f>
        <v>1.824817518248175</v>
      </c>
      <c r="J8" s="56">
        <v>2</v>
      </c>
      <c r="K8" s="57">
        <v>0.54800000000000004</v>
      </c>
    </row>
    <row r="9" spans="1:11" ht="26.4" x14ac:dyDescent="0.25">
      <c r="A9" s="131" t="s">
        <v>3</v>
      </c>
      <c r="B9" s="58" t="s">
        <v>4</v>
      </c>
      <c r="C9" s="45" t="s">
        <v>247</v>
      </c>
      <c r="D9" s="20" t="s">
        <v>6</v>
      </c>
      <c r="E9" s="45" t="s">
        <v>7</v>
      </c>
      <c r="F9" s="46" t="s">
        <v>8</v>
      </c>
      <c r="H9" s="59" t="s">
        <v>9</v>
      </c>
      <c r="I9" s="60">
        <f>1/0.397</f>
        <v>2.5188916876574305</v>
      </c>
      <c r="J9" s="60">
        <v>3</v>
      </c>
      <c r="K9" s="61">
        <v>0.39700000000000002</v>
      </c>
    </row>
    <row r="10" spans="1:11" ht="15" customHeight="1" x14ac:dyDescent="0.25">
      <c r="A10" s="62" t="s">
        <v>10</v>
      </c>
      <c r="B10" s="63" t="s">
        <v>1</v>
      </c>
      <c r="C10" s="16">
        <f>C6</f>
        <v>16.02</v>
      </c>
      <c r="D10" s="41">
        <v>1</v>
      </c>
      <c r="E10" s="16">
        <f>ROUND(C10/4,4)</f>
        <v>4.0049999999999999</v>
      </c>
      <c r="F10" s="103">
        <f>ROUND(E10/(VLOOKUP(B10,H7:K16,2,FALSE)),4)</f>
        <v>4.0049999999999999</v>
      </c>
      <c r="H10" s="64" t="s">
        <v>11</v>
      </c>
      <c r="I10" s="49">
        <f>1/0.321</f>
        <v>3.1152647975077881</v>
      </c>
      <c r="J10" s="49">
        <v>4</v>
      </c>
      <c r="K10" s="65">
        <v>0.32100000000000001</v>
      </c>
    </row>
    <row r="11" spans="1:11" ht="15" customHeight="1" x14ac:dyDescent="0.25">
      <c r="B11" s="51"/>
      <c r="C11" s="51"/>
      <c r="D11" s="51"/>
      <c r="E11" s="51"/>
      <c r="F11" s="51"/>
      <c r="H11" s="64" t="s">
        <v>12</v>
      </c>
      <c r="I11" s="49">
        <f>1/0.276</f>
        <v>3.6231884057971011</v>
      </c>
      <c r="J11" s="49">
        <v>5</v>
      </c>
      <c r="K11" s="65">
        <v>0.27600000000000002</v>
      </c>
    </row>
    <row r="12" spans="1:11" ht="15" customHeight="1" x14ac:dyDescent="0.25">
      <c r="A12" s="5" t="s">
        <v>249</v>
      </c>
      <c r="B12" s="51"/>
      <c r="C12" s="51"/>
      <c r="D12" s="51"/>
      <c r="E12" s="51"/>
      <c r="F12" s="51"/>
      <c r="H12" s="64" t="s">
        <v>13</v>
      </c>
      <c r="I12" s="49">
        <f>1/0.246</f>
        <v>4.0650406504065044</v>
      </c>
      <c r="J12" s="49">
        <v>6</v>
      </c>
      <c r="K12" s="65">
        <v>0.246</v>
      </c>
    </row>
    <row r="13" spans="1:11" ht="26.4" x14ac:dyDescent="0.25">
      <c r="A13" s="39" t="s">
        <v>14</v>
      </c>
      <c r="B13" s="66"/>
      <c r="C13" s="21" t="s">
        <v>5</v>
      </c>
      <c r="D13" s="4" t="s">
        <v>15</v>
      </c>
      <c r="E13" s="4" t="s">
        <v>16</v>
      </c>
      <c r="F13" s="4" t="s">
        <v>17</v>
      </c>
      <c r="H13" s="64" t="s">
        <v>18</v>
      </c>
      <c r="I13" s="49">
        <f>1/0.224</f>
        <v>4.4642857142857144</v>
      </c>
      <c r="J13" s="49">
        <v>7</v>
      </c>
      <c r="K13" s="65">
        <v>0.224</v>
      </c>
    </row>
    <row r="14" spans="1:11" ht="15" customHeight="1" x14ac:dyDescent="0.25">
      <c r="A14" s="40" t="s">
        <v>14</v>
      </c>
      <c r="B14" s="67"/>
      <c r="C14" s="15">
        <v>22.81</v>
      </c>
      <c r="D14" s="43">
        <v>0.11</v>
      </c>
      <c r="E14" s="41">
        <f>ROUND(D10*D14,9)</f>
        <v>0.11</v>
      </c>
      <c r="F14" s="15">
        <f>((C14/4)*E14)/VLOOKUP(B10,H7:K16,2,FALSE)</f>
        <v>0.62727499999999992</v>
      </c>
      <c r="H14" s="37" t="s">
        <v>19</v>
      </c>
      <c r="I14" s="49">
        <f>1/0.208</f>
        <v>4.8076923076923075</v>
      </c>
      <c r="J14" s="49">
        <v>8</v>
      </c>
      <c r="K14" s="65">
        <v>0.20799999999999999</v>
      </c>
    </row>
    <row r="15" spans="1:11" x14ac:dyDescent="0.25">
      <c r="B15" s="51"/>
      <c r="C15" s="51"/>
      <c r="D15" s="51"/>
      <c r="E15" s="51"/>
      <c r="F15" s="51"/>
      <c r="H15" s="37" t="s">
        <v>20</v>
      </c>
      <c r="I15" s="49">
        <f>1/0.196</f>
        <v>5.1020408163265305</v>
      </c>
      <c r="J15" s="49">
        <v>9</v>
      </c>
      <c r="K15" s="65">
        <v>0.19600000000000001</v>
      </c>
    </row>
    <row r="16" spans="1:11" ht="13.8" thickBot="1" x14ac:dyDescent="0.3">
      <c r="A16" s="8" t="s">
        <v>250</v>
      </c>
      <c r="B16" s="68"/>
      <c r="C16" s="6"/>
      <c r="D16" s="7"/>
      <c r="E16" s="7"/>
      <c r="F16" s="6"/>
      <c r="H16" s="38" t="s">
        <v>21</v>
      </c>
      <c r="I16" s="50">
        <f>1/0.186</f>
        <v>5.376344086021505</v>
      </c>
      <c r="J16" s="50">
        <v>10</v>
      </c>
      <c r="K16" s="69">
        <v>0.186</v>
      </c>
    </row>
    <row r="17" spans="1:8" ht="39.6" x14ac:dyDescent="0.25">
      <c r="A17" s="13" t="s">
        <v>22</v>
      </c>
      <c r="B17" s="3" t="s">
        <v>23</v>
      </c>
      <c r="C17" s="4" t="s">
        <v>24</v>
      </c>
      <c r="D17" s="4" t="s">
        <v>25</v>
      </c>
      <c r="E17" s="13" t="s">
        <v>26</v>
      </c>
      <c r="F17" s="4" t="s">
        <v>27</v>
      </c>
    </row>
    <row r="18" spans="1:8" x14ac:dyDescent="0.25">
      <c r="A18" s="42" t="s">
        <v>28</v>
      </c>
      <c r="B18" s="9">
        <v>0</v>
      </c>
      <c r="C18" s="105">
        <v>0</v>
      </c>
      <c r="D18" s="158">
        <f>IF(C18&gt;0,D10,0)</f>
        <v>0</v>
      </c>
      <c r="E18" s="151">
        <f>ROUND((C18*D18)/4,9)</f>
        <v>0</v>
      </c>
      <c r="F18" s="151">
        <f>E18</f>
        <v>0</v>
      </c>
    </row>
    <row r="19" spans="1:8" x14ac:dyDescent="0.25">
      <c r="A19" s="42" t="s">
        <v>29</v>
      </c>
      <c r="B19" s="70">
        <v>2.5</v>
      </c>
      <c r="C19" s="106"/>
      <c r="D19" s="159"/>
      <c r="E19" s="151"/>
      <c r="F19" s="151"/>
    </row>
    <row r="20" spans="1:8" x14ac:dyDescent="0.25">
      <c r="B20" s="51"/>
      <c r="C20" s="51"/>
      <c r="D20" s="51"/>
      <c r="E20" s="51"/>
      <c r="F20" s="51"/>
    </row>
    <row r="21" spans="1:8" x14ac:dyDescent="0.25">
      <c r="A21" s="5" t="s">
        <v>251</v>
      </c>
      <c r="B21" s="51"/>
      <c r="C21" s="51"/>
      <c r="D21" s="51"/>
      <c r="E21" s="51"/>
      <c r="F21" s="51"/>
    </row>
    <row r="22" spans="1:8" x14ac:dyDescent="0.25">
      <c r="A22" s="76" t="s">
        <v>3</v>
      </c>
      <c r="B22" s="76" t="s">
        <v>30</v>
      </c>
      <c r="C22" s="76" t="s">
        <v>31</v>
      </c>
      <c r="D22" s="76" t="s">
        <v>32</v>
      </c>
      <c r="E22" s="51"/>
      <c r="F22" s="51"/>
    </row>
    <row r="23" spans="1:8" x14ac:dyDescent="0.25">
      <c r="A23" s="42" t="s">
        <v>33</v>
      </c>
      <c r="B23" s="77"/>
      <c r="C23" s="9">
        <f>ROUND(20.51/4,4)</f>
        <v>5.1275000000000004</v>
      </c>
      <c r="D23" s="9">
        <f>(C23*B23)</f>
        <v>0</v>
      </c>
      <c r="E23" s="51"/>
      <c r="F23" s="51"/>
    </row>
    <row r="24" spans="1:8" x14ac:dyDescent="0.25">
      <c r="B24" s="51"/>
      <c r="C24" s="51"/>
      <c r="D24" s="51"/>
      <c r="E24" s="51"/>
      <c r="F24" s="51"/>
    </row>
    <row r="25" spans="1:8" x14ac:dyDescent="0.25">
      <c r="A25" s="5" t="s">
        <v>252</v>
      </c>
      <c r="B25" s="51"/>
      <c r="C25" s="51"/>
      <c r="D25" s="51"/>
      <c r="E25" s="51"/>
      <c r="F25" s="51"/>
      <c r="H25" s="51">
        <v>0</v>
      </c>
    </row>
    <row r="26" spans="1:8" x14ac:dyDescent="0.25">
      <c r="A26" s="76" t="s">
        <v>3</v>
      </c>
      <c r="B26" s="76" t="s">
        <v>34</v>
      </c>
      <c r="C26" s="76" t="s">
        <v>35</v>
      </c>
      <c r="D26" s="76" t="s">
        <v>36</v>
      </c>
      <c r="E26" s="51"/>
      <c r="F26" s="51"/>
      <c r="H26" s="51">
        <v>1</v>
      </c>
    </row>
    <row r="27" spans="1:8" x14ac:dyDescent="0.25">
      <c r="A27" s="42" t="s">
        <v>37</v>
      </c>
      <c r="B27" s="77"/>
      <c r="C27" s="9">
        <f>ROUND(37.41/4,9)</f>
        <v>9.3524999999999991</v>
      </c>
      <c r="D27" s="9">
        <f>(C27*B27)</f>
        <v>0</v>
      </c>
      <c r="E27" s="51"/>
      <c r="F27" s="51"/>
      <c r="H27" s="51">
        <v>2</v>
      </c>
    </row>
    <row r="28" spans="1:8" x14ac:dyDescent="0.25">
      <c r="B28" s="51"/>
      <c r="C28" s="51"/>
      <c r="D28" s="51"/>
      <c r="E28" s="51"/>
      <c r="F28" s="51"/>
      <c r="H28" s="51">
        <v>3</v>
      </c>
    </row>
    <row r="29" spans="1:8" x14ac:dyDescent="0.25">
      <c r="A29" s="5" t="s">
        <v>253</v>
      </c>
      <c r="B29" s="51"/>
      <c r="C29" s="51"/>
      <c r="D29" s="51"/>
      <c r="E29" s="51"/>
      <c r="F29" s="51"/>
      <c r="H29" s="51">
        <v>4</v>
      </c>
    </row>
    <row r="30" spans="1:8" x14ac:dyDescent="0.25">
      <c r="A30" s="39" t="s">
        <v>38</v>
      </c>
      <c r="B30" s="66"/>
      <c r="C30" s="66"/>
      <c r="D30" s="71" t="s">
        <v>39</v>
      </c>
      <c r="E30" s="51"/>
      <c r="F30" s="51"/>
      <c r="H30" s="51">
        <v>5</v>
      </c>
    </row>
    <row r="31" spans="1:8" x14ac:dyDescent="0.25">
      <c r="A31" s="152" t="s">
        <v>40</v>
      </c>
      <c r="B31" s="153"/>
      <c r="C31" s="72">
        <v>8.7099999999999997E-2</v>
      </c>
      <c r="D31" s="9">
        <f>((F10+F14+F18+D27+D23)*C31)</f>
        <v>0.40347115249999999</v>
      </c>
      <c r="E31" s="51"/>
      <c r="F31" s="51"/>
    </row>
    <row r="32" spans="1:8" x14ac:dyDescent="0.25">
      <c r="B32" s="51"/>
      <c r="C32" s="51"/>
      <c r="D32" s="51"/>
      <c r="E32" s="51"/>
      <c r="F32" s="51"/>
    </row>
    <row r="33" spans="1:6" x14ac:dyDescent="0.25">
      <c r="A33" s="5" t="s">
        <v>254</v>
      </c>
      <c r="B33" s="51"/>
      <c r="C33" s="51"/>
      <c r="D33" s="51"/>
      <c r="E33" s="51"/>
      <c r="F33" s="51"/>
    </row>
    <row r="34" spans="1:6" x14ac:dyDescent="0.25">
      <c r="A34" s="154" t="s">
        <v>41</v>
      </c>
      <c r="B34" s="155"/>
      <c r="C34" s="73">
        <f>(F10+F14+F18+D27+D23+D31)</f>
        <v>5.0357461524999998</v>
      </c>
      <c r="D34" s="51"/>
      <c r="E34" s="51"/>
      <c r="F34" s="51"/>
    </row>
    <row r="35" spans="1:6" x14ac:dyDescent="0.25">
      <c r="B35" s="51"/>
      <c r="C35" s="51"/>
      <c r="D35" s="51"/>
      <c r="E35" s="51"/>
      <c r="F35" s="51"/>
    </row>
    <row r="36" spans="1:6" x14ac:dyDescent="0.25">
      <c r="B36" s="51"/>
      <c r="C36" s="51"/>
      <c r="D36" s="51"/>
      <c r="E36" s="51"/>
      <c r="F36" s="51"/>
    </row>
    <row r="44" spans="1:6" x14ac:dyDescent="0.25">
      <c r="B44" s="160"/>
    </row>
    <row r="45" spans="1:6" ht="19.5" customHeight="1" x14ac:dyDescent="0.25">
      <c r="B45" s="160"/>
    </row>
    <row r="46" spans="1:6" x14ac:dyDescent="0.25">
      <c r="B46" s="160"/>
    </row>
  </sheetData>
  <sheetProtection algorithmName="SHA-512" hashValue="+ekuvgKAmLCqQMS4CAcXjtWlwPUHc7fBQ14jn6e8rN/bQ2anihUgvqDG5P3HNtuPEjkntO5pGmK/FXZpk1lKRA==" saltValue="NpQowgQl84jo1EWCfmHG2w==" spinCount="100000" sheet="1" objects="1" scenarios="1"/>
  <mergeCells count="9">
    <mergeCell ref="B44:B46"/>
    <mergeCell ref="E18:E19"/>
    <mergeCell ref="F18:F19"/>
    <mergeCell ref="A31:B31"/>
    <mergeCell ref="A34:B34"/>
    <mergeCell ref="A4:B4"/>
    <mergeCell ref="A5:B5"/>
    <mergeCell ref="A6:B6"/>
    <mergeCell ref="D18:D19"/>
  </mergeCells>
  <phoneticPr fontId="2" type="noConversion"/>
  <dataValidations xWindow="638" yWindow="415" count="25">
    <dataValidation type="list" allowBlank="1" showInputMessage="1" showErrorMessage="1" prompt="Enter Direct Staff Staffing Ratio.  Press ALT and the down arrow to bring up the drop down options.  Use arrow keys to scroll through the options and press ENTER on the appropriate selection" sqref="B10">
      <formula1>$H$7:$H$16</formula1>
    </dataValidation>
    <dataValidation allowBlank="1" showInputMessage="1" showErrorMessage="1" prompt="Direct Staff Wage" sqref="C10"/>
    <dataValidation allowBlank="1" showInputMessage="1" showErrorMessage="1" prompt="Direct Staff Units" sqref="D10"/>
    <dataValidation allowBlank="1" showInputMessage="1" showErrorMessage="1" prompt="Direct Staff Total Cost per Unit formula is Wage divided by four" sqref="E10"/>
    <dataValidation allowBlank="1" showInputMessage="1" showErrorMessage="1" prompt="Direct Staff Pro-rated Cost of Staff per Unit formula is Total Cost per Unit divided by last digit of Staffing Ratio" sqref="F10"/>
    <dataValidation allowBlank="1" showInputMessage="1" showErrorMessage="1" prompt="Supervision Wage" sqref="C14"/>
    <dataValidation allowBlank="1" showInputMessage="1" showErrorMessage="1" prompt="Supervision Units formula is equal to Direct Staff Units times Supervision Percent" sqref="E14"/>
    <dataValidation allowBlank="1" showInputMessage="1" showErrorMessage="1" prompt="Supervision Total Cost per Unit formula is ((Supervision Wage divided by four) times Supervision Units) divided by last digit of Staffing Ratio" sqref="F14"/>
    <dataValidation allowBlank="1" showInputMessage="1" showErrorMessage="1" prompt="No Customization Add-on Amount" sqref="B18"/>
    <dataValidation allowBlank="1" showInputMessage="1" showErrorMessage="1" prompt="Benefit Percentage for Direct Care Staffing " sqref="C31"/>
    <dataValidation allowBlank="1" showInputMessage="1" showErrorMessage="1" prompt="Benefit Amount formula is sum of (Direct Staff Prorated Cost of Staff perUnit plus Supervision Total Cost per Unit plus Staffing Customization Amount per Unit plus RN Amount plus LPN Amount) times Benefit Percentage for Direct Staffing" sqref="D31"/>
    <dataValidation allowBlank="1" showInputMessage="1" showErrorMessage="1" prompt="Total Individual Staffing Amount formula is Direct Staff Pro-rated Cost of Staff per Unit plus Supervision Total Cost per Unit plus Staffing Customization Amount per Unit plus RN Amount plus LPN Amount plus Benefit Amount" sqref="C34"/>
    <dataValidation allowBlank="1" showInputMessage="1" showErrorMessage="1" prompt="Use CTRL plus arrow keys to move to edge of each table.  Use TAB to move to data entry fields" sqref="A1"/>
    <dataValidation allowBlank="1" showInputMessage="1" showErrorMessage="1" prompt="If Add-on Choice Amount is greater than $0, Staffing Customization Total Hours per Week formula is equal to Direct Staff Hours per Week" sqref="B44:B46"/>
    <dataValidation type="list" allowBlank="1" showInputMessage="1" showErrorMessage="1" prompt="Enter Add-on Amount.  Press ALT and the down arrow to bring up the drop down options.  Use arrow keys to scroll through the options and press ENTER on the appropriate selection" sqref="C18">
      <formula1>$B$18:$B$19</formula1>
    </dataValidation>
    <dataValidation allowBlank="1" showInputMessage="1" showErrorMessage="1" prompt="Staffing Customization Total Cost per Unit formula is Add-on Amount times Staffing Customization Total Hours per Unit" sqref="E18:E19"/>
    <dataValidation allowBlank="1" showInputMessage="1" showErrorMessage="1" prompt="Staffing Customization Amount per Unit formula is equal to Total Cost per Unit" sqref="F18:F19"/>
    <dataValidation allowBlank="1" showInputMessage="1" showErrorMessage="1" prompt="Supervision Percent" sqref="D14"/>
    <dataValidation allowBlank="1" showInputMessage="1" showErrorMessage="1" prompt="If Add-on Choice Amount is greater than $0, Staffing Customization Total Units formula is equal to Direct Staff Units" sqref="D18:D19"/>
    <dataValidation type="decimal" operator="lessThan" allowBlank="1" showInputMessage="1" showErrorMessage="1" prompt="Select number of RN units.  Press ALT and the down arrow to bring up the drop down options.  Use arrow keys to scroll through the options and press ENTER on the appropriate selection." sqref="B27">
      <formula1>1.00000001</formula1>
    </dataValidation>
    <dataValidation allowBlank="1" showInputMessage="1" showErrorMessage="1" prompt="RN Unit Wage is $37.41 divided by four" sqref="C27"/>
    <dataValidation allowBlank="1" showInputMessage="1" showErrorMessage="1" prompt="LPN Unit Wage is $20.51 divided by four" sqref="C23"/>
    <dataValidation type="decimal" operator="lessThan" allowBlank="1" showInputMessage="1" showErrorMessage="1" prompt="Select number of LPN Units.  Press ALT and the down arrow to bring up the drop down options.  Use arrow keys to scroll through the options and press ENTER on the appropriate selection." sqref="B23">
      <formula1>1.00000001</formula1>
    </dataValidation>
    <dataValidation allowBlank="1" showInputMessage="1" showErrorMessage="1" prompt="Deaf or Hard of Hearing Add-on Amount" sqref="B19"/>
    <dataValidation allowBlank="1" showInputMessage="1" showErrorMessage="1" prompt="Shared On-site Primary Staff/Awake Wage" sqref="C4"/>
  </dataValidations>
  <pageMargins left="0.75" right="0.75" top="1.37" bottom="1" header="0.5" footer="0.5"/>
  <pageSetup scale="79" orientation="portrait" r:id="rId1"/>
  <headerFooter alignWithMargins="0">
    <oddHeader>&amp;C&amp;G</oddHeader>
    <oddFooter>&amp;LDWRS Draft framework for Adult Day Care Services&amp;R&amp;P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125" workbookViewId="0"/>
  </sheetViews>
  <sheetFormatPr defaultColWidth="9.109375" defaultRowHeight="13.2" x14ac:dyDescent="0.25"/>
  <cols>
    <col min="1" max="1" width="3.6640625" style="1" customWidth="1"/>
    <col min="2" max="2" width="62.6640625" style="1" customWidth="1"/>
    <col min="3" max="3" width="13.109375" style="1" customWidth="1"/>
    <col min="4" max="7" width="9.109375" style="2"/>
    <col min="8" max="16384" width="9.109375" style="1"/>
  </cols>
  <sheetData>
    <row r="1" spans="1:13" ht="15.6" x14ac:dyDescent="0.3">
      <c r="A1" s="78" t="s">
        <v>42</v>
      </c>
      <c r="B1" s="78"/>
      <c r="C1" s="78"/>
      <c r="D1" s="25"/>
      <c r="E1" s="25"/>
    </row>
    <row r="2" spans="1:13" x14ac:dyDescent="0.25">
      <c r="A2" s="25"/>
      <c r="B2" s="25"/>
      <c r="C2" s="25"/>
      <c r="D2" s="25"/>
      <c r="E2" s="25"/>
    </row>
    <row r="3" spans="1:13" x14ac:dyDescent="0.25">
      <c r="A3" s="5" t="s">
        <v>43</v>
      </c>
      <c r="D3" s="25"/>
      <c r="E3" s="25"/>
    </row>
    <row r="4" spans="1:13" ht="12.75" customHeight="1" x14ac:dyDescent="0.25">
      <c r="A4" s="161" t="s">
        <v>44</v>
      </c>
      <c r="B4" s="162"/>
      <c r="C4" s="163"/>
      <c r="D4" s="25"/>
      <c r="E4" s="25"/>
    </row>
    <row r="5" spans="1:13" ht="27.75" customHeight="1" x14ac:dyDescent="0.25">
      <c r="A5" s="166" t="s">
        <v>236</v>
      </c>
      <c r="B5" s="167"/>
      <c r="C5" s="168"/>
      <c r="D5" s="25"/>
      <c r="E5" s="25"/>
    </row>
    <row r="6" spans="1:13" x14ac:dyDescent="0.25">
      <c r="A6" s="132"/>
      <c r="B6" s="133" t="s">
        <v>45</v>
      </c>
      <c r="C6" s="17"/>
      <c r="D6" s="25"/>
      <c r="E6" s="25"/>
    </row>
    <row r="7" spans="1:13" x14ac:dyDescent="0.25">
      <c r="A7" s="132"/>
      <c r="B7" s="133" t="s">
        <v>46</v>
      </c>
      <c r="C7" s="14"/>
      <c r="D7" s="25"/>
      <c r="E7" s="25"/>
    </row>
    <row r="8" spans="1:13" x14ac:dyDescent="0.25">
      <c r="A8" s="132"/>
      <c r="B8" s="133" t="s">
        <v>47</v>
      </c>
      <c r="C8" s="14"/>
      <c r="D8" s="25"/>
      <c r="E8" s="25"/>
    </row>
    <row r="9" spans="1:13" x14ac:dyDescent="0.25">
      <c r="A9" s="164" t="s">
        <v>48</v>
      </c>
      <c r="B9" s="165"/>
      <c r="C9" s="33">
        <v>5.6000000000000001E-2</v>
      </c>
      <c r="D9" s="25"/>
      <c r="E9" s="25"/>
    </row>
    <row r="10" spans="1:13" s="2" customFormat="1" x14ac:dyDescent="0.25">
      <c r="A10" s="25"/>
      <c r="B10" s="25"/>
      <c r="C10" s="25"/>
      <c r="D10" s="25"/>
      <c r="E10" s="25"/>
    </row>
    <row r="11" spans="1:13" s="2" customFormat="1" x14ac:dyDescent="0.25">
      <c r="A11" s="25"/>
      <c r="B11" s="25"/>
      <c r="C11" s="25"/>
      <c r="D11" s="25"/>
      <c r="E11" s="25"/>
    </row>
    <row r="12" spans="1:13" s="2" customFormat="1" x14ac:dyDescent="0.25">
      <c r="B12" s="2" t="s">
        <v>49</v>
      </c>
    </row>
    <row r="13" spans="1:13" s="2" customFormat="1" x14ac:dyDescent="0.25">
      <c r="H13" s="2" t="s">
        <v>50</v>
      </c>
    </row>
    <row r="14" spans="1:13" x14ac:dyDescent="0.25">
      <c r="A14" s="2"/>
      <c r="B14" s="2"/>
      <c r="C14" s="2"/>
      <c r="M14" s="1" t="s">
        <v>51</v>
      </c>
    </row>
  </sheetData>
  <sheetProtection algorithmName="SHA-512" hashValue="6vzTJyr6X72A6ZsQIfSS5Y11/okjLNZBGOWcW8/n9BFiEtMwchIP33nog5sNQkv4wN71BI7fTOktdY+CO2VC1g==" saltValue="HvpgrWcr/Xq8moDEmlIiXw==" spinCount="100000" sheet="1" objects="1" scenarios="1"/>
  <mergeCells count="3">
    <mergeCell ref="A4:C4"/>
    <mergeCell ref="A9:B9"/>
    <mergeCell ref="A5:C5"/>
  </mergeCells>
  <phoneticPr fontId="2" type="noConversion"/>
  <dataValidations count="1">
    <dataValidation allowBlank="1" showInputMessage="1" showErrorMessage="1" prompt="Program Support Percentage" sqref="C9"/>
  </dataValidations>
  <pageMargins left="0.75" right="0.75" top="1.37" bottom="1" header="0.5" footer="0.5"/>
  <pageSetup orientation="portrait" r:id="rId1"/>
  <headerFooter alignWithMargins="0">
    <oddHeader>&amp;C&amp;G</oddHeader>
    <oddFooter>&amp;LDWRS Draft framework for Adult Day Care Services - &amp;A&amp;R&amp;P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zoomScale="125" workbookViewId="0"/>
  </sheetViews>
  <sheetFormatPr defaultColWidth="9.109375" defaultRowHeight="13.2" x14ac:dyDescent="0.25"/>
  <cols>
    <col min="1" max="1" width="3" style="1" customWidth="1"/>
    <col min="2" max="2" width="40.109375" style="1" bestFit="1" customWidth="1"/>
    <col min="3" max="3" width="24.5546875" style="1" customWidth="1"/>
    <col min="4" max="16384" width="9.109375" style="1"/>
  </cols>
  <sheetData>
    <row r="1" spans="1:5" ht="15.6" x14ac:dyDescent="0.3">
      <c r="A1" s="78" t="s">
        <v>52</v>
      </c>
      <c r="B1" s="78"/>
      <c r="C1" s="78"/>
      <c r="D1" s="25"/>
      <c r="E1" s="25"/>
    </row>
    <row r="2" spans="1:5" x14ac:dyDescent="0.25">
      <c r="A2" s="25"/>
      <c r="B2" s="25"/>
      <c r="C2" s="25"/>
      <c r="D2" s="25"/>
      <c r="E2" s="25"/>
    </row>
    <row r="3" spans="1:5" x14ac:dyDescent="0.25">
      <c r="A3" s="5" t="s">
        <v>53</v>
      </c>
      <c r="D3" s="25"/>
      <c r="E3" s="25"/>
    </row>
    <row r="4" spans="1:5" x14ac:dyDescent="0.25">
      <c r="A4" s="174" t="s">
        <v>54</v>
      </c>
      <c r="B4" s="175"/>
      <c r="C4" s="18" t="s">
        <v>55</v>
      </c>
      <c r="D4" s="25"/>
      <c r="E4" s="25"/>
    </row>
    <row r="5" spans="1:5" x14ac:dyDescent="0.25">
      <c r="A5" s="169" t="s">
        <v>56</v>
      </c>
      <c r="B5" s="170"/>
      <c r="C5" s="171">
        <v>0.11559999999999999</v>
      </c>
      <c r="D5" s="25"/>
      <c r="E5" s="25"/>
    </row>
    <row r="6" spans="1:5" x14ac:dyDescent="0.25">
      <c r="A6" s="10"/>
      <c r="B6" s="176" t="s">
        <v>57</v>
      </c>
      <c r="C6" s="172"/>
      <c r="D6" s="25"/>
      <c r="E6" s="25"/>
    </row>
    <row r="7" spans="1:5" x14ac:dyDescent="0.25">
      <c r="A7" s="11"/>
      <c r="B7" s="177"/>
      <c r="C7" s="173"/>
      <c r="D7" s="25"/>
      <c r="E7" s="25"/>
    </row>
    <row r="8" spans="1:5" x14ac:dyDescent="0.25">
      <c r="A8" s="169" t="s">
        <v>58</v>
      </c>
      <c r="B8" s="170"/>
      <c r="C8" s="171">
        <v>0.12039999999999999</v>
      </c>
      <c r="D8" s="25"/>
      <c r="E8" s="25"/>
    </row>
    <row r="9" spans="1:5" x14ac:dyDescent="0.25">
      <c r="A9" s="10"/>
      <c r="B9" s="2" t="s">
        <v>59</v>
      </c>
      <c r="C9" s="172"/>
      <c r="D9" s="25"/>
      <c r="E9" s="25"/>
    </row>
    <row r="10" spans="1:5" x14ac:dyDescent="0.25">
      <c r="A10" s="10"/>
      <c r="B10" s="2" t="s">
        <v>60</v>
      </c>
      <c r="C10" s="172"/>
      <c r="D10" s="25"/>
      <c r="E10" s="25"/>
    </row>
    <row r="11" spans="1:5" x14ac:dyDescent="0.25">
      <c r="A11" s="10"/>
      <c r="B11" s="2" t="s">
        <v>61</v>
      </c>
      <c r="C11" s="172"/>
      <c r="D11" s="25"/>
      <c r="E11" s="25"/>
    </row>
    <row r="12" spans="1:5" x14ac:dyDescent="0.25">
      <c r="A12" s="10"/>
      <c r="B12" s="2" t="s">
        <v>62</v>
      </c>
      <c r="C12" s="172"/>
      <c r="D12" s="25"/>
      <c r="E12" s="25"/>
    </row>
    <row r="13" spans="1:5" x14ac:dyDescent="0.25">
      <c r="A13" s="10"/>
      <c r="B13" s="2" t="s">
        <v>63</v>
      </c>
      <c r="C13" s="172"/>
      <c r="D13" s="25"/>
      <c r="E13" s="25"/>
    </row>
    <row r="14" spans="1:5" x14ac:dyDescent="0.25">
      <c r="A14" s="10"/>
      <c r="B14" s="2" t="s">
        <v>64</v>
      </c>
      <c r="C14" s="172"/>
      <c r="D14" s="25"/>
      <c r="E14" s="25"/>
    </row>
    <row r="15" spans="1:5" x14ac:dyDescent="0.25">
      <c r="A15" s="10"/>
      <c r="B15" s="2" t="s">
        <v>65</v>
      </c>
      <c r="C15" s="172"/>
      <c r="D15" s="25"/>
      <c r="E15" s="25"/>
    </row>
    <row r="16" spans="1:5" x14ac:dyDescent="0.25">
      <c r="A16" s="10"/>
      <c r="B16" s="2" t="s">
        <v>66</v>
      </c>
      <c r="C16" s="172"/>
      <c r="D16" s="25"/>
      <c r="E16" s="25"/>
    </row>
    <row r="17" spans="1:5" x14ac:dyDescent="0.25">
      <c r="A17" s="10"/>
      <c r="B17" s="2" t="s">
        <v>67</v>
      </c>
      <c r="C17" s="172"/>
      <c r="D17" s="25"/>
      <c r="E17" s="25"/>
    </row>
    <row r="18" spans="1:5" ht="11.25" customHeight="1" x14ac:dyDescent="0.25">
      <c r="A18" s="11"/>
      <c r="B18" s="12"/>
      <c r="C18" s="173"/>
      <c r="D18" s="25"/>
      <c r="E18" s="25"/>
    </row>
    <row r="19" spans="1:5" x14ac:dyDescent="0.25">
      <c r="A19" s="164" t="s">
        <v>68</v>
      </c>
      <c r="B19" s="165"/>
      <c r="C19" s="34">
        <f>SUM(C5:C18)</f>
        <v>0.23599999999999999</v>
      </c>
      <c r="D19" s="25"/>
      <c r="E19" s="25"/>
    </row>
    <row r="20" spans="1:5" x14ac:dyDescent="0.25">
      <c r="A20" s="25"/>
      <c r="B20" s="25"/>
      <c r="C20" s="25"/>
      <c r="D20" s="25"/>
      <c r="E20" s="25"/>
    </row>
    <row r="21" spans="1:5" x14ac:dyDescent="0.25">
      <c r="A21" s="1" t="s">
        <v>69</v>
      </c>
      <c r="C21" s="25"/>
      <c r="D21" s="25"/>
      <c r="E21" s="25"/>
    </row>
    <row r="22" spans="1:5" x14ac:dyDescent="0.25">
      <c r="A22" s="25"/>
      <c r="B22" s="25"/>
      <c r="C22" s="25"/>
      <c r="D22" s="25"/>
      <c r="E22" s="25"/>
    </row>
    <row r="23" spans="1:5" x14ac:dyDescent="0.25">
      <c r="A23" s="25"/>
      <c r="B23" s="25"/>
      <c r="C23" s="25"/>
      <c r="D23" s="25"/>
      <c r="E23" s="25"/>
    </row>
  </sheetData>
  <sheetProtection password="C04A" sheet="1"/>
  <mergeCells count="7">
    <mergeCell ref="A19:B19"/>
    <mergeCell ref="A8:B8"/>
    <mergeCell ref="C8:C18"/>
    <mergeCell ref="A4:B4"/>
    <mergeCell ref="A5:B5"/>
    <mergeCell ref="C5:C7"/>
    <mergeCell ref="B6:B7"/>
  </mergeCells>
  <phoneticPr fontId="2" type="noConversion"/>
  <dataValidations count="3">
    <dataValidation allowBlank="1" showInputMessage="1" showErrorMessage="1" prompt="Taxes and Workers Comp Percentage" sqref="C5:C7"/>
    <dataValidation allowBlank="1" showInputMessage="1" showErrorMessage="1" prompt="Other Benefits Percentage" sqref="C8:C18"/>
    <dataValidation allowBlank="1" showInputMessage="1" showErrorMessage="1" prompt="Employee Related Expense Percentage formula is equal to Taxes and Workers Comp Percentage plus Other Benefits Percentage" sqref="C19"/>
  </dataValidations>
  <pageMargins left="0.75" right="0.75" top="1.37" bottom="1" header="0.5" footer="0.5"/>
  <pageSetup orientation="portrait" r:id="rId1"/>
  <headerFooter alignWithMargins="0">
    <oddHeader>&amp;C&amp;G</oddHeader>
    <oddFooter>&amp;LDWRS Draft framework for Adult Day Care Services - &amp;A&amp;R&amp;P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
  <sheetViews>
    <sheetView zoomScale="125" workbookViewId="0"/>
  </sheetViews>
  <sheetFormatPr defaultColWidth="9.109375" defaultRowHeight="13.2" x14ac:dyDescent="0.25"/>
  <cols>
    <col min="1" max="1" width="40.88671875" style="1" customWidth="1"/>
    <col min="2" max="2" width="20.44140625" style="1" customWidth="1"/>
    <col min="3" max="3" width="18.109375" style="1" customWidth="1"/>
    <col min="4" max="16384" width="9.109375" style="1"/>
  </cols>
  <sheetData>
    <row r="1" spans="1:5" ht="15.6" x14ac:dyDescent="0.3">
      <c r="A1" s="78" t="s">
        <v>70</v>
      </c>
      <c r="B1" s="78"/>
      <c r="C1" s="25"/>
      <c r="D1" s="25"/>
      <c r="E1" s="25"/>
    </row>
    <row r="2" spans="1:5" x14ac:dyDescent="0.25">
      <c r="A2" s="25"/>
      <c r="B2" s="25"/>
      <c r="C2" s="25"/>
      <c r="D2" s="25"/>
      <c r="E2" s="25"/>
    </row>
    <row r="3" spans="1:5" x14ac:dyDescent="0.25">
      <c r="A3" s="5" t="s">
        <v>71</v>
      </c>
      <c r="C3" s="25"/>
      <c r="D3" s="25"/>
      <c r="E3" s="25"/>
    </row>
    <row r="4" spans="1:5" x14ac:dyDescent="0.25">
      <c r="A4" s="174" t="s">
        <v>72</v>
      </c>
      <c r="B4" s="175"/>
      <c r="C4" s="18" t="s">
        <v>73</v>
      </c>
      <c r="D4" s="25"/>
      <c r="E4" s="25"/>
    </row>
    <row r="5" spans="1:5" ht="138" customHeight="1" x14ac:dyDescent="0.25">
      <c r="A5" s="180" t="s">
        <v>237</v>
      </c>
      <c r="B5" s="179"/>
      <c r="C5" s="107">
        <v>0.1037</v>
      </c>
      <c r="D5" s="25"/>
      <c r="E5" s="25"/>
    </row>
    <row r="6" spans="1:5" x14ac:dyDescent="0.25">
      <c r="A6" s="25"/>
      <c r="B6" s="25"/>
      <c r="C6" s="25"/>
      <c r="D6" s="25"/>
      <c r="E6" s="25"/>
    </row>
    <row r="7" spans="1:5" x14ac:dyDescent="0.25">
      <c r="A7" s="5" t="s">
        <v>74</v>
      </c>
      <c r="C7" s="25"/>
      <c r="D7" s="25"/>
      <c r="E7" s="25"/>
    </row>
    <row r="8" spans="1:5" x14ac:dyDescent="0.25">
      <c r="A8" s="174" t="s">
        <v>75</v>
      </c>
      <c r="B8" s="175"/>
      <c r="C8" s="18" t="s">
        <v>76</v>
      </c>
      <c r="D8" s="25"/>
      <c r="E8" s="25"/>
    </row>
    <row r="9" spans="1:5" x14ac:dyDescent="0.25">
      <c r="A9" s="178" t="s">
        <v>77</v>
      </c>
      <c r="B9" s="179"/>
      <c r="C9" s="107">
        <f>C5</f>
        <v>0.1037</v>
      </c>
      <c r="D9" s="25"/>
      <c r="E9" s="25"/>
    </row>
    <row r="10" spans="1:5" x14ac:dyDescent="0.25">
      <c r="A10" s="25"/>
      <c r="B10" s="25"/>
      <c r="C10" s="25"/>
      <c r="D10" s="25"/>
      <c r="E10" s="25"/>
    </row>
    <row r="11" spans="1:5" x14ac:dyDescent="0.25">
      <c r="A11" s="25"/>
      <c r="B11" s="25"/>
      <c r="C11" s="25"/>
      <c r="D11" s="25"/>
      <c r="E11" s="25"/>
    </row>
  </sheetData>
  <sheetProtection algorithmName="SHA-512" hashValue="NMWqkqp5gGpEPadgLPMMnwM0lFS4va+qgROSWEYRqDL5Ed7eayCm44179dNkNu6YrUVe295cSJX1C+96z9Ft8Q==" saltValue="osffYZl9g3Dkdm8VZ6D7eQ==" spinCount="100000" sheet="1" objects="1" scenarios="1"/>
  <mergeCells count="4">
    <mergeCell ref="A8:B8"/>
    <mergeCell ref="A9:B9"/>
    <mergeCell ref="A4:B4"/>
    <mergeCell ref="A5:B5"/>
  </mergeCells>
  <phoneticPr fontId="2" type="noConversion"/>
  <dataValidations count="2">
    <dataValidation allowBlank="1" showInputMessage="1" showErrorMessage="1" prompt="Standard Client Programming and Supports Percentage" sqref="C5"/>
    <dataValidation allowBlank="1" showInputMessage="1" showErrorMessage="1" prompt="Client Programming and Supports Percentage formula is equal to Standard Client Programming and Supports Percentage" sqref="C9"/>
  </dataValidations>
  <pageMargins left="0.75" right="0.75" top="1.37" bottom="1" header="0.5" footer="0.5"/>
  <pageSetup scale="90" orientation="portrait" r:id="rId1"/>
  <headerFooter alignWithMargins="0">
    <oddHeader>&amp;C&amp;G</oddHeader>
    <oddFooter>&amp;LDWRS Draft framework for Adult Day Care Services- &amp;A&amp;R&amp;P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zoomScale="125" workbookViewId="0"/>
  </sheetViews>
  <sheetFormatPr defaultColWidth="9.109375" defaultRowHeight="13.2" x14ac:dyDescent="0.25"/>
  <cols>
    <col min="1" max="1" width="10.6640625" style="1" customWidth="1"/>
    <col min="2" max="2" width="15.5546875" style="1" customWidth="1"/>
    <col min="3" max="3" width="15.6640625" style="1" customWidth="1"/>
    <col min="4" max="16384" width="9.109375" style="1"/>
  </cols>
  <sheetData>
    <row r="1" spans="1:6" ht="15.6" x14ac:dyDescent="0.3">
      <c r="A1" s="78" t="s">
        <v>78</v>
      </c>
      <c r="B1" s="78"/>
      <c r="C1" s="78"/>
      <c r="D1" s="25"/>
      <c r="E1" s="25"/>
      <c r="F1" s="25"/>
    </row>
    <row r="2" spans="1:6" x14ac:dyDescent="0.25">
      <c r="A2" s="25"/>
      <c r="B2" s="25"/>
      <c r="C2" s="25"/>
      <c r="D2" s="25"/>
      <c r="E2" s="25"/>
      <c r="F2" s="25"/>
    </row>
    <row r="3" spans="1:6" ht="13.8" thickBot="1" x14ac:dyDescent="0.3">
      <c r="A3" s="5" t="s">
        <v>79</v>
      </c>
      <c r="E3" s="25"/>
      <c r="F3" s="25"/>
    </row>
    <row r="4" spans="1:6" ht="26.4" x14ac:dyDescent="0.25">
      <c r="A4" s="22" t="s">
        <v>4</v>
      </c>
      <c r="B4" s="47" t="s">
        <v>80</v>
      </c>
      <c r="C4" s="47" t="s">
        <v>81</v>
      </c>
      <c r="D4" s="25"/>
      <c r="E4" s="25"/>
      <c r="F4" s="25"/>
    </row>
    <row r="5" spans="1:6" x14ac:dyDescent="0.25">
      <c r="A5" s="23" t="str">
        <f>'Direct Staffing'!B10</f>
        <v>1:1</v>
      </c>
      <c r="B5" s="24">
        <f>ROUND(20.02/120,3)</f>
        <v>0.16700000000000001</v>
      </c>
      <c r="C5" s="104">
        <f>ROUND(((1+1/(VLOOKUP(A5,'Direct Staffing'!H7:K16,2,FALSE)))*B5),3)</f>
        <v>0.33400000000000002</v>
      </c>
      <c r="D5" s="25"/>
      <c r="E5" s="25"/>
      <c r="F5" s="25"/>
    </row>
    <row r="6" spans="1:6" x14ac:dyDescent="0.25">
      <c r="A6" s="25"/>
      <c r="B6" s="25"/>
      <c r="C6" s="25"/>
      <c r="D6" s="25"/>
      <c r="E6" s="25"/>
      <c r="F6" s="25"/>
    </row>
    <row r="7" spans="1:6" x14ac:dyDescent="0.25">
      <c r="A7" s="25"/>
      <c r="B7" s="25"/>
      <c r="C7" s="25"/>
      <c r="D7" s="25"/>
      <c r="E7" s="25"/>
      <c r="F7" s="25"/>
    </row>
  </sheetData>
  <sheetProtection algorithmName="SHA-512" hashValue="2FoaJgrSY1FssUuMLc4RQQITZ1UnFLDfvmSc2j+BpLBDA5zDAI9c7twR21gg61N6vs913JgK6eUsQZQoC5A7rw==" saltValue="uxYaDjypg0QYYqob0kbTcg==" spinCount="100000" sheet="1" objects="1" scenarios="1"/>
  <phoneticPr fontId="2" type="noConversion"/>
  <dataValidations count="3">
    <dataValidation allowBlank="1" showInputMessage="1" showErrorMessage="1" prompt="Staffing Ratio formula is equal to Direct Staff Staffing Ratio from Direct Staffing Sheet" sqref="A5"/>
    <dataValidation allowBlank="1" showInputMessage="1" showErrorMessage="1" prompt="Rate per Person per Unit formula is $20.02 divided by 120" sqref="B5"/>
    <dataValidation allowBlank="1" showInputMessage="1" showErrorMessage="1" prompt="Quarter Hourly Facility Cost formula is equal to Ratio Factor times Rate per Person per Unit" sqref="C5"/>
  </dataValidations>
  <pageMargins left="0.75" right="0.75" top="1.37" bottom="1" header="0.5" footer="0.5"/>
  <pageSetup orientation="portrait" r:id="rId1"/>
  <headerFooter alignWithMargins="0">
    <oddHeader>&amp;C&amp;G</oddHeader>
    <oddFooter>&amp;LDWRS Draft framework for Adult Day Care Services - &amp;A&amp;R&amp;P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zoomScale="125" workbookViewId="0"/>
  </sheetViews>
  <sheetFormatPr defaultColWidth="9.109375" defaultRowHeight="13.2" x14ac:dyDescent="0.25"/>
  <cols>
    <col min="1" max="1" width="9.109375" style="1"/>
    <col min="2" max="2" width="24.6640625" style="1" customWidth="1"/>
    <col min="3" max="3" width="10.109375" style="1" bestFit="1" customWidth="1"/>
    <col min="4" max="4" width="9.109375" style="1"/>
    <col min="5" max="6" width="11.33203125" style="1" customWidth="1"/>
    <col min="7" max="16384" width="9.109375" style="1"/>
  </cols>
  <sheetData>
    <row r="1" spans="1:7" ht="15.6" x14ac:dyDescent="0.3">
      <c r="A1" s="78" t="s">
        <v>82</v>
      </c>
      <c r="B1" s="78"/>
      <c r="C1" s="78"/>
      <c r="D1" s="25"/>
      <c r="E1" s="25"/>
      <c r="F1" s="25"/>
      <c r="G1" s="25"/>
    </row>
    <row r="2" spans="1:7" x14ac:dyDescent="0.25">
      <c r="A2" s="25"/>
      <c r="B2" s="25"/>
      <c r="C2" s="25"/>
      <c r="D2" s="25"/>
      <c r="E2" s="25"/>
      <c r="F2" s="25"/>
      <c r="G2" s="25"/>
    </row>
    <row r="3" spans="1:7" x14ac:dyDescent="0.25">
      <c r="A3" s="79" t="s">
        <v>83</v>
      </c>
      <c r="B3" s="79"/>
      <c r="C3" s="79"/>
      <c r="D3" s="79"/>
      <c r="E3" s="79"/>
      <c r="F3" s="79"/>
      <c r="G3" s="25"/>
    </row>
    <row r="4" spans="1:7" x14ac:dyDescent="0.25">
      <c r="A4" s="185" t="s">
        <v>84</v>
      </c>
      <c r="B4" s="185"/>
      <c r="C4" s="185"/>
      <c r="D4" s="185"/>
      <c r="E4" s="19" t="s">
        <v>85</v>
      </c>
      <c r="F4" s="25"/>
      <c r="G4" s="25"/>
    </row>
    <row r="5" spans="1:7" ht="12" customHeight="1" x14ac:dyDescent="0.25">
      <c r="A5" s="186" t="s">
        <v>86</v>
      </c>
      <c r="B5" s="186"/>
      <c r="C5" s="186"/>
      <c r="D5" s="186"/>
      <c r="E5" s="35">
        <v>0.13250000000000001</v>
      </c>
      <c r="F5" s="25"/>
      <c r="G5" s="25"/>
    </row>
    <row r="6" spans="1:7" x14ac:dyDescent="0.25">
      <c r="A6" s="186" t="s">
        <v>87</v>
      </c>
      <c r="B6" s="186"/>
      <c r="C6" s="186"/>
      <c r="D6" s="186"/>
      <c r="E6" s="35">
        <v>1.7999999999999999E-2</v>
      </c>
      <c r="F6" s="25"/>
      <c r="G6" s="25"/>
    </row>
    <row r="7" spans="1:7" x14ac:dyDescent="0.25">
      <c r="A7" s="181" t="s">
        <v>88</v>
      </c>
      <c r="B7" s="182"/>
      <c r="C7" s="182"/>
      <c r="D7" s="183"/>
      <c r="E7" s="35">
        <v>9.4E-2</v>
      </c>
      <c r="F7" s="25"/>
      <c r="G7" s="25"/>
    </row>
    <row r="8" spans="1:7" x14ac:dyDescent="0.25">
      <c r="A8" s="184" t="s">
        <v>89</v>
      </c>
      <c r="B8" s="184"/>
      <c r="C8" s="184"/>
      <c r="D8" s="184"/>
      <c r="E8" s="34">
        <f>SUM(E5:E7)</f>
        <v>0.2445</v>
      </c>
      <c r="F8" s="25"/>
      <c r="G8" s="25"/>
    </row>
    <row r="9" spans="1:7" x14ac:dyDescent="0.25">
      <c r="A9" s="25"/>
      <c r="B9" s="25"/>
      <c r="C9" s="25"/>
      <c r="D9" s="25"/>
      <c r="E9" s="25"/>
      <c r="F9" s="25"/>
      <c r="G9" s="25"/>
    </row>
    <row r="10" spans="1:7" x14ac:dyDescent="0.25">
      <c r="C10" s="25"/>
      <c r="D10" s="25"/>
      <c r="E10" s="25"/>
      <c r="F10" s="25"/>
      <c r="G10" s="25"/>
    </row>
    <row r="11" spans="1:7" x14ac:dyDescent="0.25">
      <c r="A11" s="25"/>
      <c r="B11" s="25"/>
      <c r="C11" s="25"/>
      <c r="D11" s="25"/>
      <c r="E11" s="25"/>
      <c r="F11" s="25"/>
      <c r="G11" s="25"/>
    </row>
    <row r="12" spans="1:7" x14ac:dyDescent="0.25">
      <c r="A12" s="25"/>
      <c r="B12" s="25"/>
      <c r="C12" s="25"/>
      <c r="D12" s="25"/>
      <c r="E12" s="25"/>
      <c r="F12" s="25"/>
      <c r="G12" s="25"/>
    </row>
  </sheetData>
  <sheetProtection password="C10A" sheet="1"/>
  <mergeCells count="5">
    <mergeCell ref="A7:D7"/>
    <mergeCell ref="A8:D8"/>
    <mergeCell ref="A4:D4"/>
    <mergeCell ref="A5:D5"/>
    <mergeCell ref="A6:D6"/>
  </mergeCells>
  <phoneticPr fontId="2" type="noConversion"/>
  <dataValidations count="4">
    <dataValidation allowBlank="1" showInputMessage="1" showErrorMessage="1" prompt="Standard General and Administrative Support Percentage" sqref="E5"/>
    <dataValidation allowBlank="1" showInputMessage="1" showErrorMessage="1" prompt="Program General and Administrative Percentage" sqref="E6"/>
    <dataValidation allowBlank="1" showInputMessage="1" showErrorMessage="1" prompt="Utilization Factor Percentage" sqref="E7"/>
    <dataValidation allowBlank="1" showInputMessage="1" showErrorMessage="1" prompt="Program Related Expenses Percentage formula is Standard General and Administrative Percentage plus Program General and Administrative Percentage plus Utilization Factor Percentage" sqref="E8"/>
  </dataValidations>
  <pageMargins left="0.75" right="0.75" top="1.37" bottom="1" header="0.5" footer="0.5"/>
  <pageSetup orientation="portrait" r:id="rId1"/>
  <headerFooter alignWithMargins="0">
    <oddHeader>&amp;C&amp;G</oddHeader>
    <oddFooter>&amp;LDWRS Draft framework for Adult Day Care Services - &amp;A&amp;R&amp;P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9"/>
  <sheetViews>
    <sheetView workbookViewId="0">
      <selection activeCell="B4" sqref="B4:D4"/>
    </sheetView>
  </sheetViews>
  <sheetFormatPr defaultRowHeight="13.2" x14ac:dyDescent="0.25"/>
  <cols>
    <col min="1" max="1" width="29" customWidth="1"/>
    <col min="2" max="2" width="17.44140625" customWidth="1"/>
    <col min="3" max="3" width="20" customWidth="1"/>
    <col min="4" max="5" width="9.109375" customWidth="1"/>
    <col min="6" max="6" width="5.5546875" style="85" bestFit="1" customWidth="1"/>
  </cols>
  <sheetData>
    <row r="3" spans="1:6" x14ac:dyDescent="0.25">
      <c r="A3" s="5" t="s">
        <v>90</v>
      </c>
      <c r="B3" s="51"/>
      <c r="C3" s="51"/>
      <c r="D3" s="51"/>
    </row>
    <row r="4" spans="1:6" x14ac:dyDescent="0.25">
      <c r="A4" s="39" t="s">
        <v>91</v>
      </c>
      <c r="B4" s="187" t="s">
        <v>92</v>
      </c>
      <c r="C4" s="188"/>
      <c r="D4" s="189"/>
    </row>
    <row r="5" spans="1:6" x14ac:dyDescent="0.25">
      <c r="A5" s="39" t="s">
        <v>93</v>
      </c>
      <c r="B5" s="190" t="str">
        <f>INDEX($C$10:$C$108,MATCH(B4:D4,B10:B108,0))</f>
        <v>Unspecified Region</v>
      </c>
      <c r="C5" s="191"/>
      <c r="D5" s="192"/>
    </row>
    <row r="7" spans="1:6" hidden="1" x14ac:dyDescent="0.25">
      <c r="A7" t="s">
        <v>94</v>
      </c>
      <c r="B7" t="str">
        <f>INDEX($D$10:$D$108,MATCH(B4:D4,B10:B108,0))</f>
        <v>-</v>
      </c>
    </row>
    <row r="8" spans="1:6" hidden="1" x14ac:dyDescent="0.25"/>
    <row r="9" spans="1:6" ht="14.4" hidden="1" x14ac:dyDescent="0.25">
      <c r="B9" s="82" t="s">
        <v>95</v>
      </c>
      <c r="C9" s="82" t="s">
        <v>96</v>
      </c>
      <c r="D9" s="86" t="s">
        <v>94</v>
      </c>
      <c r="F9"/>
    </row>
    <row r="10" spans="1:6" ht="14.4" hidden="1" x14ac:dyDescent="0.25">
      <c r="B10" s="87" t="s">
        <v>92</v>
      </c>
      <c r="C10" s="87" t="s">
        <v>97</v>
      </c>
      <c r="D10" s="88" t="s">
        <v>98</v>
      </c>
      <c r="F10"/>
    </row>
    <row r="11" spans="1:6" ht="14.4" hidden="1" x14ac:dyDescent="0.25">
      <c r="B11" s="83" t="s">
        <v>99</v>
      </c>
      <c r="C11" s="83" t="s">
        <v>100</v>
      </c>
      <c r="D11" s="92">
        <v>0.97299999999999998</v>
      </c>
      <c r="F11"/>
    </row>
    <row r="12" spans="1:6" ht="14.4" hidden="1" x14ac:dyDescent="0.25">
      <c r="B12" s="83" t="s">
        <v>101</v>
      </c>
      <c r="C12" s="83" t="s">
        <v>102</v>
      </c>
      <c r="D12" s="92">
        <v>1.0129999999999999</v>
      </c>
      <c r="F12"/>
    </row>
    <row r="13" spans="1:6" ht="14.4" hidden="1" x14ac:dyDescent="0.25">
      <c r="B13" s="83" t="s">
        <v>103</v>
      </c>
      <c r="C13" s="83" t="s">
        <v>104</v>
      </c>
      <c r="D13" s="92">
        <v>1.0069999999999999</v>
      </c>
      <c r="F13"/>
    </row>
    <row r="14" spans="1:6" ht="14.4" hidden="1" x14ac:dyDescent="0.25">
      <c r="B14" s="83" t="s">
        <v>105</v>
      </c>
      <c r="C14" s="83" t="s">
        <v>104</v>
      </c>
      <c r="D14" s="92">
        <v>1.0069999999999999</v>
      </c>
      <c r="F14"/>
    </row>
    <row r="15" spans="1:6" ht="14.4" hidden="1" x14ac:dyDescent="0.25">
      <c r="B15" s="83" t="s">
        <v>106</v>
      </c>
      <c r="C15" s="83" t="s">
        <v>107</v>
      </c>
      <c r="D15" s="92">
        <v>0.94599999999999995</v>
      </c>
      <c r="F15"/>
    </row>
    <row r="16" spans="1:6" ht="14.4" hidden="1" x14ac:dyDescent="0.25">
      <c r="B16" s="83" t="s">
        <v>108</v>
      </c>
      <c r="C16" s="84" t="s">
        <v>109</v>
      </c>
      <c r="D16" s="92">
        <v>0.97899999999999998</v>
      </c>
      <c r="F16"/>
    </row>
    <row r="17" spans="2:6" ht="14.4" hidden="1" x14ac:dyDescent="0.25">
      <c r="B17" s="83" t="s">
        <v>110</v>
      </c>
      <c r="C17" s="83" t="s">
        <v>111</v>
      </c>
      <c r="D17" s="92">
        <v>1.0429999999999999</v>
      </c>
      <c r="F17"/>
    </row>
    <row r="18" spans="2:6" ht="14.4" hidden="1" x14ac:dyDescent="0.25">
      <c r="B18" s="83" t="s">
        <v>112</v>
      </c>
      <c r="C18" s="84" t="s">
        <v>113</v>
      </c>
      <c r="D18" s="92">
        <v>0.95</v>
      </c>
      <c r="F18"/>
    </row>
    <row r="19" spans="2:6" ht="14.4" hidden="1" x14ac:dyDescent="0.25">
      <c r="B19" s="83" t="s">
        <v>114</v>
      </c>
      <c r="C19" s="84" t="s">
        <v>115</v>
      </c>
      <c r="D19" s="92">
        <v>0.95</v>
      </c>
      <c r="F19"/>
    </row>
    <row r="20" spans="2:6" ht="14.4" hidden="1" x14ac:dyDescent="0.25">
      <c r="B20" s="83" t="s">
        <v>116</v>
      </c>
      <c r="C20" s="83" t="s">
        <v>102</v>
      </c>
      <c r="D20" s="92">
        <v>1.0129999999999999</v>
      </c>
      <c r="F20"/>
    </row>
    <row r="21" spans="2:6" ht="14.4" hidden="1" x14ac:dyDescent="0.25">
      <c r="B21" s="83" t="s">
        <v>117</v>
      </c>
      <c r="C21" s="83" t="s">
        <v>104</v>
      </c>
      <c r="D21" s="92">
        <v>1.0069999999999999</v>
      </c>
      <c r="F21"/>
    </row>
    <row r="22" spans="2:6" ht="14.4" hidden="1" x14ac:dyDescent="0.25">
      <c r="B22" s="83" t="s">
        <v>118</v>
      </c>
      <c r="C22" s="84" t="s">
        <v>109</v>
      </c>
      <c r="D22" s="92">
        <v>0.97899999999999998</v>
      </c>
      <c r="F22"/>
    </row>
    <row r="23" spans="2:6" ht="14.4" hidden="1" x14ac:dyDescent="0.25">
      <c r="B23" s="83" t="s">
        <v>119</v>
      </c>
      <c r="C23" s="84" t="s">
        <v>102</v>
      </c>
      <c r="D23" s="92">
        <v>1.0129999999999999</v>
      </c>
      <c r="F23"/>
    </row>
    <row r="24" spans="2:6" ht="14.4" hidden="1" x14ac:dyDescent="0.25">
      <c r="B24" s="83" t="s">
        <v>120</v>
      </c>
      <c r="C24" s="84" t="s">
        <v>121</v>
      </c>
      <c r="D24" s="92">
        <v>0.99099999999999999</v>
      </c>
      <c r="F24"/>
    </row>
    <row r="25" spans="2:6" ht="14.4" hidden="1" x14ac:dyDescent="0.25">
      <c r="B25" s="83" t="s">
        <v>122</v>
      </c>
      <c r="C25" s="83" t="s">
        <v>104</v>
      </c>
      <c r="D25" s="92">
        <v>1.0069999999999999</v>
      </c>
      <c r="F25"/>
    </row>
    <row r="26" spans="2:6" ht="14.4" hidden="1" x14ac:dyDescent="0.25">
      <c r="B26" s="83" t="s">
        <v>123</v>
      </c>
      <c r="C26" s="84" t="s">
        <v>100</v>
      </c>
      <c r="D26" s="92">
        <v>0.97299999999999998</v>
      </c>
      <c r="F26"/>
    </row>
    <row r="27" spans="2:6" ht="14.4" hidden="1" x14ac:dyDescent="0.25">
      <c r="B27" s="83" t="s">
        <v>124</v>
      </c>
      <c r="C27" s="84" t="s">
        <v>109</v>
      </c>
      <c r="D27" s="92">
        <v>0.97899999999999998</v>
      </c>
      <c r="F27"/>
    </row>
    <row r="28" spans="2:6" ht="14.4" hidden="1" x14ac:dyDescent="0.25">
      <c r="B28" s="83" t="s">
        <v>125</v>
      </c>
      <c r="C28" s="83" t="s">
        <v>104</v>
      </c>
      <c r="D28" s="92">
        <v>1.0069999999999999</v>
      </c>
      <c r="F28"/>
    </row>
    <row r="29" spans="2:6" ht="14.4" hidden="1" x14ac:dyDescent="0.25">
      <c r="B29" s="83" t="s">
        <v>126</v>
      </c>
      <c r="C29" s="83" t="s">
        <v>102</v>
      </c>
      <c r="D29" s="92">
        <v>1.0129999999999999</v>
      </c>
      <c r="F29"/>
    </row>
    <row r="30" spans="2:6" ht="14.4" hidden="1" x14ac:dyDescent="0.25">
      <c r="B30" s="83" t="s">
        <v>127</v>
      </c>
      <c r="C30" s="84" t="s">
        <v>128</v>
      </c>
      <c r="D30" s="92">
        <v>1.0469999999999999</v>
      </c>
      <c r="F30"/>
    </row>
    <row r="31" spans="2:6" ht="14.4" hidden="1" x14ac:dyDescent="0.25">
      <c r="B31" s="83" t="s">
        <v>129</v>
      </c>
      <c r="C31" s="83" t="s">
        <v>104</v>
      </c>
      <c r="D31" s="92">
        <v>1.0069999999999999</v>
      </c>
      <c r="F31"/>
    </row>
    <row r="32" spans="2:6" ht="14.4" hidden="1" x14ac:dyDescent="0.25">
      <c r="B32" s="83" t="s">
        <v>130</v>
      </c>
      <c r="C32" s="84" t="s">
        <v>113</v>
      </c>
      <c r="D32" s="92">
        <v>0.95</v>
      </c>
      <c r="F32"/>
    </row>
    <row r="33" spans="2:6" ht="14.4" hidden="1" x14ac:dyDescent="0.25">
      <c r="B33" s="83" t="s">
        <v>131</v>
      </c>
      <c r="C33" s="84" t="s">
        <v>128</v>
      </c>
      <c r="D33" s="92">
        <v>1.0469999999999999</v>
      </c>
      <c r="F33"/>
    </row>
    <row r="34" spans="2:6" ht="14.4" hidden="1" x14ac:dyDescent="0.25">
      <c r="B34" s="83" t="s">
        <v>132</v>
      </c>
      <c r="C34" s="84" t="s">
        <v>113</v>
      </c>
      <c r="D34" s="92">
        <v>0.95</v>
      </c>
      <c r="F34"/>
    </row>
    <row r="35" spans="2:6" ht="14.4" hidden="1" x14ac:dyDescent="0.25">
      <c r="B35" s="83" t="s">
        <v>133</v>
      </c>
      <c r="C35" s="84" t="s">
        <v>113</v>
      </c>
      <c r="D35" s="92">
        <v>0.95</v>
      </c>
      <c r="F35"/>
    </row>
    <row r="36" spans="2:6" ht="14.4" hidden="1" x14ac:dyDescent="0.25">
      <c r="B36" s="83" t="s">
        <v>134</v>
      </c>
      <c r="C36" s="83" t="s">
        <v>104</v>
      </c>
      <c r="D36" s="92">
        <v>1.0069999999999999</v>
      </c>
      <c r="F36"/>
    </row>
    <row r="37" spans="2:6" ht="14.4" hidden="1" x14ac:dyDescent="0.25">
      <c r="B37" s="83" t="s">
        <v>135</v>
      </c>
      <c r="C37" s="83" t="s">
        <v>102</v>
      </c>
      <c r="D37" s="92">
        <v>1.0129999999999999</v>
      </c>
      <c r="F37"/>
    </row>
    <row r="38" spans="2:6" ht="14.4" hidden="1" x14ac:dyDescent="0.25">
      <c r="B38" s="83" t="s">
        <v>136</v>
      </c>
      <c r="C38" s="84" t="s">
        <v>137</v>
      </c>
      <c r="D38" s="92">
        <v>1.034</v>
      </c>
      <c r="F38"/>
    </row>
    <row r="39" spans="2:6" ht="14.4" hidden="1" x14ac:dyDescent="0.25">
      <c r="B39" s="83" t="s">
        <v>138</v>
      </c>
      <c r="C39" s="83" t="s">
        <v>104</v>
      </c>
      <c r="D39" s="92">
        <v>1.0069999999999999</v>
      </c>
      <c r="F39"/>
    </row>
    <row r="40" spans="2:6" ht="14.4" hidden="1" x14ac:dyDescent="0.25">
      <c r="B40" s="83" t="s">
        <v>139</v>
      </c>
      <c r="C40" s="84" t="s">
        <v>102</v>
      </c>
      <c r="D40" s="92">
        <v>1.0129999999999999</v>
      </c>
      <c r="F40"/>
    </row>
    <row r="41" spans="2:6" ht="14.4" hidden="1" x14ac:dyDescent="0.25">
      <c r="B41" s="83" t="s">
        <v>140</v>
      </c>
      <c r="C41" s="84" t="s">
        <v>100</v>
      </c>
      <c r="D41" s="92">
        <v>0.97299999999999998</v>
      </c>
      <c r="F41"/>
    </row>
    <row r="42" spans="2:6" ht="14.4" hidden="1" x14ac:dyDescent="0.25">
      <c r="B42" s="83" t="s">
        <v>141</v>
      </c>
      <c r="C42" s="84" t="s">
        <v>109</v>
      </c>
      <c r="D42" s="92">
        <v>0.97899999999999998</v>
      </c>
      <c r="F42"/>
    </row>
    <row r="43" spans="2:6" ht="14.4" hidden="1" x14ac:dyDescent="0.25">
      <c r="B43" s="83" t="s">
        <v>142</v>
      </c>
      <c r="C43" s="84" t="s">
        <v>100</v>
      </c>
      <c r="D43" s="92">
        <v>0.97299999999999998</v>
      </c>
      <c r="F43"/>
    </row>
    <row r="44" spans="2:6" ht="14.4" hidden="1" x14ac:dyDescent="0.25">
      <c r="B44" s="83" t="s">
        <v>143</v>
      </c>
      <c r="C44" s="84" t="s">
        <v>109</v>
      </c>
      <c r="D44" s="92">
        <v>0.97899999999999998</v>
      </c>
      <c r="F44"/>
    </row>
    <row r="45" spans="2:6" ht="14.4" hidden="1" x14ac:dyDescent="0.25">
      <c r="B45" s="83" t="s">
        <v>144</v>
      </c>
      <c r="C45" s="83" t="s">
        <v>104</v>
      </c>
      <c r="D45" s="92">
        <v>1.0069999999999999</v>
      </c>
      <c r="F45"/>
    </row>
    <row r="46" spans="2:6" ht="14.4" hidden="1" x14ac:dyDescent="0.25">
      <c r="B46" s="83" t="s">
        <v>145</v>
      </c>
      <c r="C46" s="84" t="s">
        <v>100</v>
      </c>
      <c r="D46" s="92">
        <v>0.97299999999999998</v>
      </c>
      <c r="F46"/>
    </row>
    <row r="47" spans="2:6" ht="14.4" hidden="1" x14ac:dyDescent="0.25">
      <c r="B47" s="83" t="s">
        <v>146</v>
      </c>
      <c r="C47" s="84" t="s">
        <v>109</v>
      </c>
      <c r="D47" s="92">
        <v>0.97899999999999998</v>
      </c>
      <c r="F47"/>
    </row>
    <row r="48" spans="2:6" ht="14.4" hidden="1" x14ac:dyDescent="0.25">
      <c r="B48" s="83" t="s">
        <v>147</v>
      </c>
      <c r="C48" s="84" t="s">
        <v>100</v>
      </c>
      <c r="D48" s="92">
        <v>0.97299999999999998</v>
      </c>
      <c r="F48"/>
    </row>
    <row r="49" spans="2:6" ht="14.4" hidden="1" x14ac:dyDescent="0.25">
      <c r="B49" s="83" t="s">
        <v>148</v>
      </c>
      <c r="C49" s="83" t="s">
        <v>104</v>
      </c>
      <c r="D49" s="92">
        <v>1.0069999999999999</v>
      </c>
      <c r="F49"/>
    </row>
    <row r="50" spans="2:6" ht="14.4" hidden="1" x14ac:dyDescent="0.25">
      <c r="B50" s="83" t="s">
        <v>149</v>
      </c>
      <c r="C50" s="84" t="s">
        <v>102</v>
      </c>
      <c r="D50" s="92">
        <v>1.0129999999999999</v>
      </c>
      <c r="F50"/>
    </row>
    <row r="51" spans="2:6" ht="14.4" hidden="1" x14ac:dyDescent="0.25">
      <c r="B51" s="83" t="s">
        <v>150</v>
      </c>
      <c r="C51" s="84" t="s">
        <v>109</v>
      </c>
      <c r="D51" s="92">
        <v>0.97899999999999998</v>
      </c>
      <c r="F51"/>
    </row>
    <row r="52" spans="2:6" ht="14.4" hidden="1" x14ac:dyDescent="0.25">
      <c r="B52" s="83" t="s">
        <v>151</v>
      </c>
      <c r="C52" s="84" t="s">
        <v>109</v>
      </c>
      <c r="D52" s="92">
        <v>0.97899999999999998</v>
      </c>
      <c r="F52"/>
    </row>
    <row r="53" spans="2:6" ht="14.4" hidden="1" x14ac:dyDescent="0.25">
      <c r="B53" s="83" t="s">
        <v>152</v>
      </c>
      <c r="C53" s="84" t="s">
        <v>109</v>
      </c>
      <c r="D53" s="92">
        <v>0.97899999999999998</v>
      </c>
      <c r="F53"/>
    </row>
    <row r="54" spans="2:6" ht="14.4" hidden="1" x14ac:dyDescent="0.25">
      <c r="B54" s="83" t="s">
        <v>153</v>
      </c>
      <c r="C54" s="83" t="s">
        <v>104</v>
      </c>
      <c r="D54" s="92">
        <v>1.0069999999999999</v>
      </c>
      <c r="F54"/>
    </row>
    <row r="55" spans="2:6" ht="14.4" hidden="1" x14ac:dyDescent="0.25">
      <c r="B55" s="83" t="s">
        <v>154</v>
      </c>
      <c r="C55" s="83" t="s">
        <v>104</v>
      </c>
      <c r="D55" s="92">
        <v>1.0069999999999999</v>
      </c>
      <c r="F55"/>
    </row>
    <row r="56" spans="2:6" ht="14.4" hidden="1" x14ac:dyDescent="0.25">
      <c r="B56" s="83" t="s">
        <v>155</v>
      </c>
      <c r="C56" s="84" t="s">
        <v>113</v>
      </c>
      <c r="D56" s="92">
        <v>0.95</v>
      </c>
      <c r="F56"/>
    </row>
    <row r="57" spans="2:6" ht="14.4" hidden="1" x14ac:dyDescent="0.25">
      <c r="B57" s="83" t="s">
        <v>156</v>
      </c>
      <c r="C57" s="84" t="s">
        <v>109</v>
      </c>
      <c r="D57" s="92">
        <v>0.97899999999999998</v>
      </c>
      <c r="F57"/>
    </row>
    <row r="58" spans="2:6" ht="14.4" hidden="1" x14ac:dyDescent="0.25">
      <c r="B58" s="83" t="s">
        <v>157</v>
      </c>
      <c r="C58" s="84" t="s">
        <v>102</v>
      </c>
      <c r="D58" s="92">
        <v>1.0129999999999999</v>
      </c>
      <c r="F58"/>
    </row>
    <row r="59" spans="2:6" ht="14.4" hidden="1" x14ac:dyDescent="0.25">
      <c r="B59" s="83" t="s">
        <v>158</v>
      </c>
      <c r="C59" s="83" t="s">
        <v>104</v>
      </c>
      <c r="D59" s="92">
        <v>1.0069999999999999</v>
      </c>
      <c r="F59"/>
    </row>
    <row r="60" spans="2:6" ht="14.4" hidden="1" x14ac:dyDescent="0.25">
      <c r="B60" s="83" t="s">
        <v>159</v>
      </c>
      <c r="C60" s="84" t="s">
        <v>113</v>
      </c>
      <c r="D60" s="92">
        <v>0.95</v>
      </c>
      <c r="F60"/>
    </row>
    <row r="61" spans="2:6" ht="14.4" hidden="1" x14ac:dyDescent="0.25">
      <c r="B61" s="83" t="s">
        <v>160</v>
      </c>
      <c r="C61" s="84" t="s">
        <v>109</v>
      </c>
      <c r="D61" s="92">
        <v>0.97899999999999998</v>
      </c>
      <c r="F61"/>
    </row>
    <row r="62" spans="2:6" ht="14.4" hidden="1" x14ac:dyDescent="0.25">
      <c r="B62" s="83" t="s">
        <v>161</v>
      </c>
      <c r="C62" s="84" t="s">
        <v>111</v>
      </c>
      <c r="D62" s="92">
        <v>1.0429999999999999</v>
      </c>
      <c r="F62"/>
    </row>
    <row r="63" spans="2:6" ht="14.4" hidden="1" x14ac:dyDescent="0.25">
      <c r="B63" s="83" t="s">
        <v>162</v>
      </c>
      <c r="C63" s="84" t="s">
        <v>109</v>
      </c>
      <c r="D63" s="92">
        <v>0.97899999999999998</v>
      </c>
      <c r="F63"/>
    </row>
    <row r="64" spans="2:6" ht="14.4" hidden="1" x14ac:dyDescent="0.25">
      <c r="B64" s="83" t="s">
        <v>163</v>
      </c>
      <c r="C64" s="83" t="s">
        <v>104</v>
      </c>
      <c r="D64" s="92">
        <v>1.0069999999999999</v>
      </c>
      <c r="F64"/>
    </row>
    <row r="65" spans="2:6" ht="14.4" hidden="1" x14ac:dyDescent="0.25">
      <c r="B65" s="83" t="s">
        <v>164</v>
      </c>
      <c r="C65" s="84" t="s">
        <v>128</v>
      </c>
      <c r="D65" s="92">
        <v>1.0469999999999999</v>
      </c>
      <c r="F65"/>
    </row>
    <row r="66" spans="2:6" ht="14.4" hidden="1" x14ac:dyDescent="0.25">
      <c r="B66" s="83" t="s">
        <v>165</v>
      </c>
      <c r="C66" s="83" t="s">
        <v>104</v>
      </c>
      <c r="D66" s="92">
        <v>1.0069999999999999</v>
      </c>
      <c r="F66"/>
    </row>
    <row r="67" spans="2:6" ht="14.4" hidden="1" x14ac:dyDescent="0.25">
      <c r="B67" s="83" t="s">
        <v>166</v>
      </c>
      <c r="C67" s="83" t="s">
        <v>104</v>
      </c>
      <c r="D67" s="92">
        <v>1.0069999999999999</v>
      </c>
      <c r="F67"/>
    </row>
    <row r="68" spans="2:6" ht="14.4" hidden="1" x14ac:dyDescent="0.25">
      <c r="B68" s="83" t="s">
        <v>167</v>
      </c>
      <c r="C68" s="84" t="s">
        <v>100</v>
      </c>
      <c r="D68" s="92">
        <v>0.97299999999999998</v>
      </c>
      <c r="F68"/>
    </row>
    <row r="69" spans="2:6" ht="14.4" hidden="1" x14ac:dyDescent="0.25">
      <c r="B69" s="83" t="s">
        <v>168</v>
      </c>
      <c r="C69" s="84" t="s">
        <v>109</v>
      </c>
      <c r="D69" s="92">
        <v>0.97899999999999998</v>
      </c>
      <c r="F69"/>
    </row>
    <row r="70" spans="2:6" ht="14.4" hidden="1" x14ac:dyDescent="0.25">
      <c r="B70" s="83" t="s">
        <v>169</v>
      </c>
      <c r="C70" s="84" t="s">
        <v>170</v>
      </c>
      <c r="D70" s="92">
        <v>0.99099999999999999</v>
      </c>
      <c r="F70"/>
    </row>
    <row r="71" spans="2:6" ht="14.4" hidden="1" x14ac:dyDescent="0.25">
      <c r="B71" s="83" t="s">
        <v>171</v>
      </c>
      <c r="C71" s="83" t="s">
        <v>104</v>
      </c>
      <c r="D71" s="92">
        <v>1.0069999999999999</v>
      </c>
      <c r="F71"/>
    </row>
    <row r="72" spans="2:6" ht="14.4" hidden="1" x14ac:dyDescent="0.25">
      <c r="B72" s="83" t="s">
        <v>172</v>
      </c>
      <c r="C72" s="83" t="s">
        <v>102</v>
      </c>
      <c r="D72" s="92">
        <v>1.0129999999999999</v>
      </c>
      <c r="F72"/>
    </row>
    <row r="73" spans="2:6" ht="14.4" hidden="1" x14ac:dyDescent="0.25">
      <c r="B73" s="83" t="s">
        <v>173</v>
      </c>
      <c r="C73" s="83" t="s">
        <v>104</v>
      </c>
      <c r="D73" s="92">
        <v>1.0069999999999999</v>
      </c>
      <c r="F73"/>
    </row>
    <row r="74" spans="2:6" ht="14.4" hidden="1" x14ac:dyDescent="0.25">
      <c r="B74" s="83" t="s">
        <v>174</v>
      </c>
      <c r="C74" s="84" t="s">
        <v>109</v>
      </c>
      <c r="D74" s="92">
        <v>0.97899999999999998</v>
      </c>
      <c r="F74"/>
    </row>
    <row r="75" spans="2:6" ht="14.4" hidden="1" x14ac:dyDescent="0.25">
      <c r="B75" s="83" t="s">
        <v>175</v>
      </c>
      <c r="C75" s="84" t="s">
        <v>109</v>
      </c>
      <c r="D75" s="92">
        <v>0.97899999999999998</v>
      </c>
      <c r="F75"/>
    </row>
    <row r="76" spans="2:6" ht="14.4" hidden="1" x14ac:dyDescent="0.25">
      <c r="B76" s="83" t="s">
        <v>176</v>
      </c>
      <c r="C76" s="84" t="s">
        <v>113</v>
      </c>
      <c r="D76" s="92">
        <v>0.95</v>
      </c>
      <c r="F76"/>
    </row>
    <row r="77" spans="2:6" ht="14.4" hidden="1" x14ac:dyDescent="0.25">
      <c r="B77" s="83" t="s">
        <v>177</v>
      </c>
      <c r="C77" s="84" t="s">
        <v>109</v>
      </c>
      <c r="D77" s="92">
        <v>0.97899999999999998</v>
      </c>
      <c r="F77"/>
    </row>
    <row r="78" spans="2:6" ht="14.4" hidden="1" x14ac:dyDescent="0.25">
      <c r="B78" s="83" t="s">
        <v>178</v>
      </c>
      <c r="C78" s="83" t="s">
        <v>104</v>
      </c>
      <c r="D78" s="92">
        <v>1.0069999999999999</v>
      </c>
      <c r="F78"/>
    </row>
    <row r="79" spans="2:6" ht="14.4" hidden="1" x14ac:dyDescent="0.25">
      <c r="B79" s="83" t="s">
        <v>179</v>
      </c>
      <c r="C79" s="84" t="s">
        <v>115</v>
      </c>
      <c r="D79" s="92">
        <v>0.95</v>
      </c>
      <c r="F79"/>
    </row>
    <row r="80" spans="2:6" ht="14.4" hidden="1" x14ac:dyDescent="0.25">
      <c r="B80" s="83" t="s">
        <v>180</v>
      </c>
      <c r="C80" s="83" t="s">
        <v>102</v>
      </c>
      <c r="D80" s="92">
        <v>1.0129999999999999</v>
      </c>
      <c r="F80"/>
    </row>
    <row r="81" spans="2:6" ht="14.4" hidden="1" x14ac:dyDescent="0.25">
      <c r="B81" s="83" t="s">
        <v>181</v>
      </c>
      <c r="C81" s="84" t="s">
        <v>102</v>
      </c>
      <c r="D81" s="92">
        <v>1.0129999999999999</v>
      </c>
      <c r="F81"/>
    </row>
    <row r="82" spans="2:6" ht="14.4" hidden="1" x14ac:dyDescent="0.25">
      <c r="B82" s="83" t="s">
        <v>182</v>
      </c>
      <c r="C82" s="84" t="s">
        <v>102</v>
      </c>
      <c r="D82" s="92">
        <v>1.0129999999999999</v>
      </c>
      <c r="F82"/>
    </row>
    <row r="83" spans="2:6" ht="14.4" hidden="1" x14ac:dyDescent="0.25">
      <c r="B83" s="83" t="s">
        <v>183</v>
      </c>
      <c r="C83" s="84" t="s">
        <v>107</v>
      </c>
      <c r="D83" s="92">
        <v>0.94599999999999995</v>
      </c>
      <c r="F83"/>
    </row>
    <row r="84" spans="2:6" ht="14.4" hidden="1" x14ac:dyDescent="0.25">
      <c r="B84" s="83" t="s">
        <v>184</v>
      </c>
      <c r="C84" s="84" t="s">
        <v>113</v>
      </c>
      <c r="D84" s="92">
        <v>0.95</v>
      </c>
      <c r="F84"/>
    </row>
    <row r="85" spans="2:6" ht="14.4" hidden="1" x14ac:dyDescent="0.25">
      <c r="B85" s="83" t="s">
        <v>185</v>
      </c>
      <c r="C85" s="83" t="s">
        <v>104</v>
      </c>
      <c r="D85" s="92">
        <v>1.0069999999999999</v>
      </c>
      <c r="F85"/>
    </row>
    <row r="86" spans="2:6" ht="14.4" hidden="1" x14ac:dyDescent="0.25">
      <c r="B86" s="83" t="s">
        <v>186</v>
      </c>
      <c r="C86" s="84" t="s">
        <v>109</v>
      </c>
      <c r="D86" s="92">
        <v>0.97899999999999998</v>
      </c>
      <c r="F86"/>
    </row>
    <row r="87" spans="2:6" ht="14.4" hidden="1" x14ac:dyDescent="0.25">
      <c r="B87" s="83" t="s">
        <v>187</v>
      </c>
      <c r="C87" s="83" t="s">
        <v>104</v>
      </c>
      <c r="D87" s="92">
        <v>1.0069999999999999</v>
      </c>
      <c r="F87"/>
    </row>
    <row r="88" spans="2:6" ht="14.4" hidden="1" x14ac:dyDescent="0.25">
      <c r="B88" s="83" t="s">
        <v>188</v>
      </c>
      <c r="C88" s="83" t="s">
        <v>104</v>
      </c>
      <c r="D88" s="92">
        <v>1.0069999999999999</v>
      </c>
      <c r="F88"/>
    </row>
    <row r="89" spans="2:6" ht="14.4" hidden="1" x14ac:dyDescent="0.25">
      <c r="B89" s="83" t="s">
        <v>189</v>
      </c>
      <c r="C89" s="84" t="s">
        <v>128</v>
      </c>
      <c r="D89" s="92">
        <v>1.0469999999999999</v>
      </c>
      <c r="F89"/>
    </row>
    <row r="90" spans="2:6" ht="14.4" hidden="1" x14ac:dyDescent="0.25">
      <c r="B90" s="83" t="s">
        <v>190</v>
      </c>
      <c r="C90" s="83" t="s">
        <v>104</v>
      </c>
      <c r="D90" s="92">
        <v>1.0069999999999999</v>
      </c>
      <c r="F90"/>
    </row>
    <row r="91" spans="2:6" ht="14.4" hidden="1" x14ac:dyDescent="0.25">
      <c r="B91" s="83" t="s">
        <v>191</v>
      </c>
      <c r="C91" s="84" t="s">
        <v>113</v>
      </c>
      <c r="D91" s="92">
        <v>0.95</v>
      </c>
      <c r="F91"/>
    </row>
    <row r="92" spans="2:6" ht="14.4" hidden="1" x14ac:dyDescent="0.25">
      <c r="B92" s="83" t="s">
        <v>192</v>
      </c>
      <c r="C92" s="83" t="s">
        <v>102</v>
      </c>
      <c r="D92" s="92">
        <v>1.0129999999999999</v>
      </c>
      <c r="F92"/>
    </row>
    <row r="93" spans="2:6" ht="14.4" hidden="1" x14ac:dyDescent="0.25">
      <c r="B93" s="83" t="s">
        <v>193</v>
      </c>
      <c r="C93" s="84" t="s">
        <v>113</v>
      </c>
      <c r="D93" s="92">
        <v>0.95</v>
      </c>
      <c r="F93"/>
    </row>
    <row r="94" spans="2:6" ht="14.4" hidden="1" x14ac:dyDescent="0.25">
      <c r="B94" s="83" t="s">
        <v>194</v>
      </c>
      <c r="C94" s="83" t="s">
        <v>104</v>
      </c>
      <c r="D94" s="92">
        <v>1.0069999999999999</v>
      </c>
      <c r="F94"/>
    </row>
    <row r="95" spans="2:6" ht="14.4" hidden="1" x14ac:dyDescent="0.25">
      <c r="B95" s="83" t="s">
        <v>195</v>
      </c>
      <c r="C95" s="84" t="s">
        <v>113</v>
      </c>
      <c r="D95" s="92">
        <v>0.95</v>
      </c>
      <c r="F95"/>
    </row>
    <row r="96" spans="2:6" ht="14.4" hidden="1" x14ac:dyDescent="0.25">
      <c r="B96" s="83" t="s">
        <v>196</v>
      </c>
      <c r="C96" s="84" t="s">
        <v>102</v>
      </c>
      <c r="D96" s="92">
        <v>1.0129999999999999</v>
      </c>
      <c r="F96"/>
    </row>
    <row r="97" spans="2:6" ht="17.25" hidden="1" customHeight="1" x14ac:dyDescent="0.25">
      <c r="B97" s="109" t="s">
        <v>197</v>
      </c>
      <c r="C97" s="110" t="s">
        <v>109</v>
      </c>
      <c r="D97" s="111">
        <v>0.97899999999999998</v>
      </c>
      <c r="F97"/>
    </row>
    <row r="98" spans="2:6" hidden="1" x14ac:dyDescent="0.25">
      <c r="B98" s="112" t="s">
        <v>198</v>
      </c>
      <c r="C98" s="112" t="s">
        <v>104</v>
      </c>
      <c r="D98" s="113">
        <v>1.0069999999999999</v>
      </c>
    </row>
    <row r="99" spans="2:6" hidden="1" x14ac:dyDescent="0.25">
      <c r="B99" s="112" t="s">
        <v>199</v>
      </c>
      <c r="C99" s="112" t="s">
        <v>104</v>
      </c>
      <c r="D99" s="113">
        <v>1.0069999999999999</v>
      </c>
    </row>
    <row r="100" spans="2:6" hidden="1" x14ac:dyDescent="0.25">
      <c r="B100" s="112" t="s">
        <v>200</v>
      </c>
      <c r="C100" s="112" t="s">
        <v>109</v>
      </c>
      <c r="D100" s="113">
        <v>0.97899999999999998</v>
      </c>
    </row>
    <row r="101" spans="2:6" hidden="1" x14ac:dyDescent="0.25">
      <c r="B101" s="112" t="s">
        <v>201</v>
      </c>
      <c r="C101" s="112" t="s">
        <v>102</v>
      </c>
      <c r="D101" s="113">
        <v>1.0129999999999999</v>
      </c>
    </row>
    <row r="102" spans="2:6" hidden="1" x14ac:dyDescent="0.25">
      <c r="B102" s="112" t="s">
        <v>202</v>
      </c>
      <c r="C102" s="112" t="s">
        <v>109</v>
      </c>
      <c r="D102" s="113">
        <v>0.97899999999999998</v>
      </c>
    </row>
    <row r="103" spans="2:6" hidden="1" x14ac:dyDescent="0.25">
      <c r="B103" s="112" t="s">
        <v>203</v>
      </c>
      <c r="C103" s="112" t="s">
        <v>102</v>
      </c>
      <c r="D103" s="113">
        <v>1.0129999999999999</v>
      </c>
    </row>
    <row r="104" spans="2:6" hidden="1" x14ac:dyDescent="0.25">
      <c r="B104" s="112" t="s">
        <v>204</v>
      </c>
      <c r="C104" s="112" t="s">
        <v>100</v>
      </c>
      <c r="D104" s="112">
        <v>0.97299999999999998</v>
      </c>
    </row>
    <row r="105" spans="2:6" hidden="1" x14ac:dyDescent="0.25">
      <c r="B105" s="112" t="s">
        <v>205</v>
      </c>
      <c r="C105" s="112" t="s">
        <v>115</v>
      </c>
      <c r="D105" s="113">
        <v>0.95</v>
      </c>
    </row>
    <row r="106" spans="2:6" hidden="1" x14ac:dyDescent="0.25">
      <c r="B106" s="112" t="s">
        <v>206</v>
      </c>
      <c r="C106" s="112" t="s">
        <v>104</v>
      </c>
      <c r="D106" s="112">
        <v>1.0069999999999999</v>
      </c>
    </row>
    <row r="107" spans="2:6" hidden="1" x14ac:dyDescent="0.25">
      <c r="B107" s="112" t="s">
        <v>207</v>
      </c>
      <c r="C107" s="112" t="s">
        <v>100</v>
      </c>
      <c r="D107" s="112">
        <v>0.97299999999999998</v>
      </c>
    </row>
    <row r="108" spans="2:6" hidden="1" x14ac:dyDescent="0.25">
      <c r="B108" s="112" t="s">
        <v>208</v>
      </c>
      <c r="C108" s="112" t="s">
        <v>113</v>
      </c>
      <c r="D108" s="113">
        <v>0.95</v>
      </c>
    </row>
    <row r="109" spans="2:6" hidden="1" x14ac:dyDescent="0.25"/>
  </sheetData>
  <sheetProtection password="C10A" sheet="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zoomScale="125" workbookViewId="0"/>
  </sheetViews>
  <sheetFormatPr defaultColWidth="9.109375" defaultRowHeight="13.2" x14ac:dyDescent="0.25"/>
  <cols>
    <col min="1" max="1" width="37.88671875" style="27" customWidth="1"/>
    <col min="2" max="2" width="20.6640625" style="27" bestFit="1" customWidth="1"/>
    <col min="3" max="3" width="14.109375" style="95" customWidth="1"/>
    <col min="4" max="4" width="16" style="95" customWidth="1"/>
    <col min="5" max="5" width="14.109375" style="95" customWidth="1"/>
    <col min="6" max="6" width="11.33203125" style="95" bestFit="1" customWidth="1"/>
    <col min="7" max="7" width="9.109375" style="95"/>
    <col min="8" max="16384" width="9.109375" style="27"/>
  </cols>
  <sheetData>
    <row r="1" spans="1:6" ht="15.6" x14ac:dyDescent="0.3">
      <c r="A1" s="26" t="s">
        <v>238</v>
      </c>
      <c r="C1" s="94"/>
      <c r="D1" s="94"/>
      <c r="E1" s="94"/>
      <c r="F1" s="94"/>
    </row>
    <row r="2" spans="1:6" x14ac:dyDescent="0.25">
      <c r="A2" s="28"/>
      <c r="B2" s="28"/>
      <c r="E2" s="94"/>
      <c r="F2" s="94"/>
    </row>
    <row r="3" spans="1:6" x14ac:dyDescent="0.25">
      <c r="A3" s="29" t="s">
        <v>209</v>
      </c>
      <c r="B3" s="25"/>
      <c r="C3" s="94"/>
      <c r="D3" s="96" t="s">
        <v>210</v>
      </c>
      <c r="E3" s="94"/>
      <c r="F3" s="94"/>
    </row>
    <row r="4" spans="1:6" x14ac:dyDescent="0.25">
      <c r="A4" s="48" t="s">
        <v>211</v>
      </c>
      <c r="B4" s="134">
        <f>'Direct Staffing'!C34</f>
        <v>5.0357461524999998</v>
      </c>
      <c r="D4" s="97">
        <f>B4</f>
        <v>5.0357461524999998</v>
      </c>
      <c r="E4" s="94"/>
      <c r="F4" s="94"/>
    </row>
    <row r="5" spans="1:6" x14ac:dyDescent="0.25">
      <c r="A5" s="28"/>
      <c r="B5" s="28"/>
      <c r="E5" s="94"/>
      <c r="F5" s="94"/>
    </row>
    <row r="6" spans="1:6" x14ac:dyDescent="0.25">
      <c r="A6" s="29" t="s">
        <v>212</v>
      </c>
      <c r="B6" s="25"/>
      <c r="C6" s="94"/>
      <c r="D6" s="94"/>
      <c r="E6" s="94"/>
      <c r="F6" s="94"/>
    </row>
    <row r="7" spans="1:6" x14ac:dyDescent="0.25">
      <c r="A7" s="48" t="s">
        <v>213</v>
      </c>
      <c r="B7" s="135">
        <f>'Program Plan Support'!C9</f>
        <v>5.6000000000000001E-2</v>
      </c>
      <c r="D7" s="97">
        <f>ROUND(B7*D4,4)</f>
        <v>0.28199999999999997</v>
      </c>
      <c r="E7" s="94"/>
      <c r="F7" s="94"/>
    </row>
    <row r="8" spans="1:6" x14ac:dyDescent="0.25">
      <c r="A8" s="28"/>
      <c r="B8" s="28"/>
      <c r="E8" s="94"/>
      <c r="F8" s="94"/>
    </row>
    <row r="9" spans="1:6" x14ac:dyDescent="0.25">
      <c r="A9" s="29" t="s">
        <v>214</v>
      </c>
      <c r="B9" s="25"/>
      <c r="C9" s="94"/>
      <c r="D9" s="94"/>
      <c r="E9" s="94"/>
      <c r="F9" s="94"/>
    </row>
    <row r="10" spans="1:6" x14ac:dyDescent="0.25">
      <c r="A10" s="48" t="s">
        <v>215</v>
      </c>
      <c r="B10" s="136">
        <f>'Emp. Related Exp.'!C19</f>
        <v>0.23599999999999999</v>
      </c>
      <c r="C10" s="97"/>
      <c r="D10" s="97">
        <f>ROUND(B10*(D4+D7),4)</f>
        <v>1.2549999999999999</v>
      </c>
      <c r="E10" s="94"/>
      <c r="F10" s="94"/>
    </row>
    <row r="11" spans="1:6" ht="16.5" customHeight="1" x14ac:dyDescent="0.25">
      <c r="A11" s="28"/>
      <c r="B11" s="28"/>
      <c r="E11" s="94"/>
      <c r="F11" s="94"/>
    </row>
    <row r="12" spans="1:6" x14ac:dyDescent="0.25">
      <c r="A12" s="29" t="s">
        <v>70</v>
      </c>
      <c r="B12" s="25"/>
      <c r="C12" s="94"/>
      <c r="D12" s="94"/>
      <c r="E12" s="94"/>
      <c r="F12" s="94"/>
    </row>
    <row r="13" spans="1:6" x14ac:dyDescent="0.25">
      <c r="A13" s="30" t="s">
        <v>216</v>
      </c>
      <c r="B13" s="36">
        <f>'Client Programming &amp; Supports'!C9</f>
        <v>0.1037</v>
      </c>
      <c r="D13" s="98">
        <f>ROUND((D4+D7+D10)*B13,4)</f>
        <v>0.68159999999999998</v>
      </c>
      <c r="E13" s="94"/>
      <c r="F13" s="94"/>
    </row>
    <row r="14" spans="1:6" x14ac:dyDescent="0.25">
      <c r="A14" s="28"/>
      <c r="B14" s="28"/>
      <c r="E14" s="94"/>
      <c r="F14" s="94"/>
    </row>
    <row r="15" spans="1:6" x14ac:dyDescent="0.25">
      <c r="A15" s="29" t="s">
        <v>78</v>
      </c>
      <c r="B15" s="25"/>
      <c r="C15" s="94"/>
      <c r="D15" s="94"/>
      <c r="E15" s="94"/>
      <c r="F15" s="94"/>
    </row>
    <row r="16" spans="1:6" x14ac:dyDescent="0.25">
      <c r="A16" s="30" t="s">
        <v>217</v>
      </c>
      <c r="B16" s="31">
        <f>'Program Facility'!C5</f>
        <v>0.33400000000000002</v>
      </c>
      <c r="D16" s="98">
        <f>B16</f>
        <v>0.33400000000000002</v>
      </c>
      <c r="E16" s="94"/>
      <c r="F16" s="94"/>
    </row>
    <row r="17" spans="1:8" x14ac:dyDescent="0.25">
      <c r="A17" s="28"/>
      <c r="B17" s="28"/>
      <c r="E17" s="94"/>
      <c r="F17" s="94"/>
    </row>
    <row r="18" spans="1:8" x14ac:dyDescent="0.25">
      <c r="A18" s="29" t="s">
        <v>218</v>
      </c>
      <c r="B18" s="25"/>
      <c r="C18" s="94"/>
      <c r="D18" s="94"/>
      <c r="E18" s="94"/>
      <c r="F18" s="94"/>
    </row>
    <row r="19" spans="1:8" x14ac:dyDescent="0.25">
      <c r="A19" s="48" t="s">
        <v>219</v>
      </c>
      <c r="B19" s="137">
        <f>'Program Related Expenses'!E8</f>
        <v>0.2445</v>
      </c>
      <c r="C19" s="97"/>
      <c r="D19" s="97">
        <f>E19-(D4+D7+D10+D13+D16)</f>
        <v>2.4557538475000005</v>
      </c>
      <c r="E19" s="108">
        <f>ROUND((D4+D7+D10+D13+D16)/(1-B19),4)</f>
        <v>10.0441</v>
      </c>
      <c r="F19" s="94"/>
      <c r="G19" s="100"/>
    </row>
    <row r="20" spans="1:8" x14ac:dyDescent="0.25">
      <c r="A20" s="138"/>
      <c r="B20" s="139"/>
      <c r="C20" s="97"/>
      <c r="D20" s="97"/>
      <c r="E20" s="94"/>
      <c r="F20" s="94"/>
    </row>
    <row r="21" spans="1:8" x14ac:dyDescent="0.25">
      <c r="A21" s="29" t="s">
        <v>220</v>
      </c>
      <c r="B21" s="140"/>
      <c r="C21" s="97"/>
      <c r="D21" s="97"/>
      <c r="E21" s="94"/>
      <c r="F21" s="94"/>
    </row>
    <row r="22" spans="1:8" x14ac:dyDescent="0.25">
      <c r="A22" s="44" t="s">
        <v>221</v>
      </c>
      <c r="B22" s="141" t="str">
        <f>'Regional Variance Factor'!B7</f>
        <v>-</v>
      </c>
      <c r="D22" s="101" t="str">
        <f>IF((B22&lt;&gt;"-"),((E19*B22)-E19),"Select County")</f>
        <v>Select County</v>
      </c>
      <c r="E22" s="94"/>
      <c r="F22" s="94"/>
      <c r="G22" s="99"/>
    </row>
    <row r="23" spans="1:8" x14ac:dyDescent="0.25">
      <c r="A23" s="80"/>
      <c r="B23" s="93"/>
      <c r="E23" s="94"/>
      <c r="F23" s="94"/>
    </row>
    <row r="24" spans="1:8" x14ac:dyDescent="0.25">
      <c r="A24" s="32" t="s">
        <v>222</v>
      </c>
      <c r="B24" s="134" t="str">
        <f>D24</f>
        <v>Select County</v>
      </c>
      <c r="D24" s="98" t="str">
        <f>IF((B22&lt;&gt;"-"),E19+D22,"Select County")</f>
        <v>Select County</v>
      </c>
      <c r="E24" s="94"/>
      <c r="F24" s="94"/>
    </row>
    <row r="25" spans="1:8" ht="15.6" customHeight="1" x14ac:dyDescent="0.25">
      <c r="A25" s="89"/>
      <c r="B25" s="142"/>
      <c r="D25" s="98"/>
      <c r="E25" s="94"/>
      <c r="F25" s="94"/>
      <c r="H25" s="90"/>
    </row>
    <row r="26" spans="1:8" s="118" customFormat="1" hidden="1" x14ac:dyDescent="0.25">
      <c r="A26" s="114" t="s">
        <v>223</v>
      </c>
      <c r="B26" s="143">
        <v>1</v>
      </c>
      <c r="C26" s="115"/>
      <c r="D26" s="115"/>
      <c r="E26" s="115"/>
      <c r="F26" s="115"/>
      <c r="G26" s="116"/>
      <c r="H26" s="117"/>
    </row>
    <row r="27" spans="1:8" s="118" customFormat="1" hidden="1" x14ac:dyDescent="0.25">
      <c r="A27" s="119" t="s">
        <v>224</v>
      </c>
      <c r="B27" s="120" t="str">
        <f>IF((B22&lt;&gt;"-"),G29,"-")</f>
        <v>-</v>
      </c>
      <c r="C27" s="115"/>
      <c r="D27" s="121"/>
      <c r="E27" s="115"/>
      <c r="F27" s="115"/>
      <c r="G27" s="122">
        <f>B26</f>
        <v>1</v>
      </c>
      <c r="H27" s="117"/>
    </row>
    <row r="28" spans="1:8" s="118" customFormat="1" hidden="1" x14ac:dyDescent="0.25">
      <c r="A28" s="123"/>
      <c r="B28" s="124"/>
      <c r="C28" s="115"/>
      <c r="D28" s="125"/>
      <c r="E28" s="126"/>
      <c r="F28" s="126"/>
      <c r="G28" s="116">
        <f>1-G27</f>
        <v>0</v>
      </c>
      <c r="H28" s="117"/>
    </row>
    <row r="29" spans="1:8" x14ac:dyDescent="0.25">
      <c r="A29" s="29" t="s">
        <v>225</v>
      </c>
      <c r="G29" s="102" t="e">
        <f>((B24+B22)*G27)-(B24+B22)</f>
        <v>#VALUE!</v>
      </c>
      <c r="H29" s="90"/>
    </row>
    <row r="30" spans="1:8" x14ac:dyDescent="0.25">
      <c r="A30" s="44" t="s">
        <v>226</v>
      </c>
      <c r="B30" s="31" t="str">
        <f>IF((B22&lt;&gt;"-"),B24+B27,"County")</f>
        <v>County</v>
      </c>
      <c r="H30" s="91"/>
    </row>
    <row r="32" spans="1:8" hidden="1" x14ac:dyDescent="0.25">
      <c r="A32" s="29" t="s">
        <v>227</v>
      </c>
      <c r="B32" s="140">
        <v>0.01</v>
      </c>
    </row>
    <row r="33" spans="1:2" hidden="1" x14ac:dyDescent="0.25">
      <c r="A33" s="44" t="s">
        <v>228</v>
      </c>
      <c r="B33" s="31" t="str">
        <f>IF((B22&lt;&gt;"-"),B32*B30,"-")</f>
        <v>-</v>
      </c>
    </row>
    <row r="34" spans="1:2" hidden="1" x14ac:dyDescent="0.25"/>
    <row r="35" spans="1:2" hidden="1" x14ac:dyDescent="0.25">
      <c r="A35" s="29" t="s">
        <v>229</v>
      </c>
    </row>
    <row r="36" spans="1:2" hidden="1" x14ac:dyDescent="0.25">
      <c r="A36" s="44" t="s">
        <v>230</v>
      </c>
      <c r="B36" s="31" t="str">
        <f>IF(B22&lt;&gt;"-",B33+B30,"-")</f>
        <v>-</v>
      </c>
    </row>
    <row r="37" spans="1:2" hidden="1" x14ac:dyDescent="0.25"/>
    <row r="38" spans="1:2" hidden="1" x14ac:dyDescent="0.25">
      <c r="A38" s="29" t="s">
        <v>231</v>
      </c>
      <c r="B38" s="140">
        <v>0.05</v>
      </c>
    </row>
    <row r="39" spans="1:2" hidden="1" x14ac:dyDescent="0.25">
      <c r="A39" s="44" t="s">
        <v>228</v>
      </c>
      <c r="B39" s="31" t="str">
        <f>IF(B22&lt;&gt;"-",B38*B36,"-")</f>
        <v>-</v>
      </c>
    </row>
    <row r="40" spans="1:2" hidden="1" x14ac:dyDescent="0.25"/>
    <row r="41" spans="1:2" hidden="1" x14ac:dyDescent="0.25">
      <c r="A41" s="29" t="s">
        <v>232</v>
      </c>
    </row>
    <row r="42" spans="1:2" hidden="1" x14ac:dyDescent="0.25">
      <c r="A42" s="44" t="s">
        <v>230</v>
      </c>
      <c r="B42" s="31" t="str">
        <f>IF(B22&lt;&gt;"-",B39+B36,"-")</f>
        <v>-</v>
      </c>
    </row>
    <row r="43" spans="1:2" hidden="1" x14ac:dyDescent="0.25"/>
    <row r="44" spans="1:2" hidden="1" x14ac:dyDescent="0.25">
      <c r="A44" s="29" t="s">
        <v>233</v>
      </c>
      <c r="B44" s="140">
        <v>0.01</v>
      </c>
    </row>
    <row r="45" spans="1:2" hidden="1" x14ac:dyDescent="0.25">
      <c r="A45" s="44" t="s">
        <v>228</v>
      </c>
      <c r="B45" s="31" t="str">
        <f>IF(B22&lt;&gt;"-",B44*B42,"-")</f>
        <v>-</v>
      </c>
    </row>
    <row r="46" spans="1:2" hidden="1" x14ac:dyDescent="0.25"/>
    <row r="47" spans="1:2" hidden="1" x14ac:dyDescent="0.25">
      <c r="A47" s="29" t="s">
        <v>234</v>
      </c>
    </row>
    <row r="48" spans="1:2" hidden="1" x14ac:dyDescent="0.25">
      <c r="A48" s="44" t="s">
        <v>230</v>
      </c>
      <c r="B48" s="31" t="str">
        <f>IF(B22&lt;&gt;"-",B45+B42,"Select County")</f>
        <v>Select County</v>
      </c>
    </row>
  </sheetData>
  <sheetProtection algorithmName="SHA-512" hashValue="IEPYK/3kAPgYCyp6z5YYyWjR2bvFwhB4NYLh4u64fbU92DrosZfDelRXpwuPJJXBaCLnocgJkdoUKXCeE4I5CA==" saltValue="TmPhCV4ivyKfX0ePNp1lzQ==" spinCount="100000" sheet="1" objects="1" scenarios="1"/>
  <phoneticPr fontId="2" type="noConversion"/>
  <dataValidations xWindow="448" yWindow="650" count="22">
    <dataValidation allowBlank="1" showInputMessage="1" showErrorMessage="1" prompt="Staffing Costs per Unit formula is equal Total Individual Staffing Amount from Direct Staffing sheet" sqref="B4"/>
    <dataValidation allowBlank="1" showInputMessage="1" showErrorMessage="1" prompt="Cost for Staffing per Unit Rate Calculation formula is equal to Staffing Cost per Unit" sqref="D4"/>
    <dataValidation allowBlank="1" showInputMessage="1" showErrorMessage="1" prompt="Program Support Standard formula is equal to Program Support Percentage from Program Plan Support sheet" sqref="B7"/>
    <dataValidation allowBlank="1" showInputMessage="1" showErrorMessage="1" prompt="Program Support Rate Calculation formula is Program Support Standard times Staffing per Unit Rate" sqref="D7"/>
    <dataValidation allowBlank="1" showInputMessage="1" showErrorMessage="1" prompt="Benefit Percentage formula is equal to Emplyee Related Expense Percentage from Emp. Related Exp. sheet" sqref="B10"/>
    <dataValidation allowBlank="1" showInputMessage="1" showErrorMessage="1" prompt="Employee Related Expense Rate Calculation formula is Benefit Percentage times the sum of (Staffing per Unit Rate plus Program Support Rate)" sqref="D10"/>
    <dataValidation allowBlank="1" showInputMessage="1" showErrorMessage="1" prompt="Client Programming and Supports Standard formula is equal to Client Programming and Supports Percentage from Client Programming &amp; Supports sheet" sqref="B13"/>
    <dataValidation allowBlank="1" showInputMessage="1" showErrorMessage="1" prompt="Client Programming and Supports Rate Calculation formula is the sum of (Staffing per Unit Rate plus Program Support Rate plus Employee Related Expense Rate) times Client Programming and Supports Standard" sqref="D13"/>
    <dataValidation allowBlank="1" showInputMessage="1" showErrorMessage="1" prompt="Program Facility Cost formula is equal to Quarter Hourly Facility Cost from Program Facility sheet" sqref="B16"/>
    <dataValidation allowBlank="1" showInputMessage="1" showErrorMessage="1" prompt="Program Facility Rate formula is equal to Program Facility Cost" sqref="D16"/>
    <dataValidation allowBlank="1" showInputMessage="1" showErrorMessage="1" prompt="G&amp;A Standard formula is equal to Program Related Expenses from Program Related Expenses sheet" sqref="B19:B2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9:D21"/>
    <dataValidation allowBlank="1" showInputMessage="1" showErrorMessage="1" prompt="Unit Rate formula is equal to Total Unit Rate" sqref="B24:B25"/>
    <dataValidation allowBlank="1" showInputMessage="1" showErrorMessage="1" prompt="Unit Rate Calculation formula is equal to sum of (Staffing per Unit Rate plus Program Support Rate plus Employee Related Expense Rate plus Client Programming and Supports Rate plus Program Facility Rate) divided by(one minus G&amp;A Standard)" sqref="D24:D25 D28"/>
    <dataValidation allowBlank="1" showInputMessage="1" showErrorMessage="1" prompt="Budget Neutrality Rate" sqref="B26 B21"/>
    <dataValidation allowBlank="1" showInputMessage="1" showErrorMessage="1" prompt="Unit Budget Neutrality formula is Total Unit Rate minus Unit Rate" sqref="B27:B28"/>
    <dataValidation allowBlank="1" showInputMessage="1" showErrorMessage="1" prompt="Post COLA Rate formula is Original Rate plus Cost of Living Adjustment" sqref="B36 B42 B48"/>
    <dataValidation allowBlank="1" showInputMessage="1" showErrorMessage="1" prompt="4/1/2014 COLA Increase " sqref="B32 B38 B44"/>
    <dataValidation allowBlank="1" showInputMessage="1" showErrorMessage="1" prompt="Cost of Living Adjustment formula is Original Total Unit Rate multiplied by COLA" sqref="B45 B33 B39"/>
    <dataValidation allowBlank="1" showInputMessage="1" showErrorMessage="1" prompt="Total Unit Rate formula is Budget Neutrality Rate times Unit Rate " sqref="B30"/>
    <dataValidation allowBlank="1" showInputMessage="1" showErrorMessage="1" prompt="Unit Regional Variance formula is Unit Rate times Regional Variance Factor" sqref="B23"/>
    <dataValidation allowBlank="1" showInputMessage="1" showErrorMessage="1" prompt="Unit Regional Variance formula is Unit Rate multiplied by the appropriate Regional Variance Factor" sqref="B22"/>
  </dataValidations>
  <pageMargins left="0.75" right="0.75" top="1.37" bottom="1" header="0.5" footer="0.5"/>
  <pageSetup scale="79" orientation="portrait" r:id="rId1"/>
  <headerFooter alignWithMargins="0">
    <oddHeader>&amp;C&amp;G</oddHeader>
    <oddFooter>&amp;LDWRS Draft framework for Adult Day Care Services - &amp;A&amp;R&amp;P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5"/>
  <sheetViews>
    <sheetView workbookViewId="0">
      <selection activeCell="C4" sqref="C4"/>
    </sheetView>
  </sheetViews>
  <sheetFormatPr defaultRowHeight="13.2" x14ac:dyDescent="0.25"/>
  <cols>
    <col min="2" max="2" width="51.44140625" style="81" customWidth="1"/>
  </cols>
  <sheetData>
    <row r="2" spans="1:3" ht="21.6" customHeight="1" x14ac:dyDescent="0.25">
      <c r="A2" s="129">
        <v>43831</v>
      </c>
      <c r="B2" s="127" t="s">
        <v>241</v>
      </c>
      <c r="C2" s="130" t="s">
        <v>235</v>
      </c>
    </row>
    <row r="3" spans="1:3" x14ac:dyDescent="0.25">
      <c r="A3" s="144">
        <v>43831</v>
      </c>
      <c r="B3" s="145" t="s">
        <v>242</v>
      </c>
      <c r="C3" s="146" t="s">
        <v>240</v>
      </c>
    </row>
    <row r="4" spans="1:3" x14ac:dyDescent="0.25">
      <c r="A4" s="127"/>
      <c r="B4" s="128"/>
      <c r="C4" s="127"/>
    </row>
    <row r="5" spans="1:3" x14ac:dyDescent="0.25">
      <c r="A5" s="127"/>
      <c r="B5" s="128"/>
      <c r="C5" s="127"/>
    </row>
    <row r="6" spans="1:3" s="127" customFormat="1" hidden="1" x14ac:dyDescent="0.25">
      <c r="A6" s="129">
        <v>43831</v>
      </c>
      <c r="B6" s="130" t="s">
        <v>239</v>
      </c>
      <c r="C6" s="130" t="s">
        <v>235</v>
      </c>
    </row>
    <row r="7" spans="1:3" x14ac:dyDescent="0.25">
      <c r="A7" s="127"/>
      <c r="B7" s="128"/>
      <c r="C7" s="127"/>
    </row>
    <row r="8" spans="1:3" x14ac:dyDescent="0.25">
      <c r="A8" s="127"/>
      <c r="B8" s="128"/>
      <c r="C8" s="127"/>
    </row>
    <row r="9" spans="1:3" x14ac:dyDescent="0.25">
      <c r="A9" s="127"/>
      <c r="B9" s="128"/>
      <c r="C9" s="127"/>
    </row>
    <row r="10" spans="1:3" x14ac:dyDescent="0.25">
      <c r="A10" s="127"/>
      <c r="B10" s="128"/>
      <c r="C10" s="127"/>
    </row>
    <row r="11" spans="1:3" x14ac:dyDescent="0.25">
      <c r="A11" s="127"/>
      <c r="B11" s="128"/>
      <c r="C11" s="127"/>
    </row>
    <row r="12" spans="1:3" x14ac:dyDescent="0.25">
      <c r="A12" s="127"/>
      <c r="B12" s="128"/>
      <c r="C12" s="127"/>
    </row>
    <row r="13" spans="1:3" x14ac:dyDescent="0.25">
      <c r="A13" s="127"/>
      <c r="B13" s="128"/>
      <c r="C13" s="127"/>
    </row>
    <row r="14" spans="1:3" x14ac:dyDescent="0.25">
      <c r="A14" s="127"/>
      <c r="B14" s="128"/>
      <c r="C14" s="127"/>
    </row>
    <row r="15" spans="1:3" x14ac:dyDescent="0.25">
      <c r="A15" s="127"/>
      <c r="B15" s="128"/>
      <c r="C15" s="12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MnSPA R19.2</Category_x002d_Req>
    <_dlc_DocId xmlns="0cdeeaad-74a8-4021-893f-c7b31297a14c">S2EJPDAADAY4-1521811817-557</_dlc_DocId>
    <Sub_x0020_category_x002d_req_x003a_ xmlns="39dc04e4-1dc7-4207-b25c-d7db9724c689">Frameworks</Sub_x0020_category_x002d_req_x003a_>
    <_dlc_DocIdUrl xmlns="0cdeeaad-74a8-4021-893f-c7b31297a14c">
      <Url>https://workplace/cc/MnSPA/_layouts/15/DocIdRedir.aspx?ID=S2EJPDAADAY4-1521811817-557</Url>
      <Description>S2EJPDAADAY4-1521811817-557</Description>
    </_dlc_DocIdUrl>
  </documentManagement>
</p:properties>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df7aee8f198d7ca44d3c0feacc07caaa">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90761ccb90468cffed300d282afd0a2f"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SPA R14.3"/>
          <xsd:enumeration value="MnSPA R14.4"/>
          <xsd:enumeration value="MnSPA R15.1"/>
          <xsd:enumeration value="MnSPA R15.2"/>
          <xsd:enumeration value="MnSPA R15.3"/>
          <xsd:enumeration value="MnSPA R15.4"/>
          <xsd:enumeration value="MnSPA R16.1"/>
          <xsd:enumeration value="MnSPA R16.2"/>
          <xsd:enumeration value="MnSPA R16.3"/>
          <xsd:enumeration value="MnSPA R16.4"/>
          <xsd:enumeration value="MnSPA R17.1"/>
          <xsd:enumeration value="MnSPA R17.2"/>
          <xsd:enumeration value="MnSPA R17.3"/>
          <xsd:enumeration value="MnSPA R17.4"/>
          <xsd:enumeration value="MnSPA R18.1"/>
          <xsd:enumeration value="MnSPA R18.2"/>
          <xsd:enumeration value="MnSPA R18.3"/>
          <xsd:enumeration value="MnSPA R18.4"/>
          <xsd:enumeration value="MnSPA R18.5"/>
          <xsd:enumeration value="MnSPA R18.6"/>
          <xsd:enumeration value="MnSPA R18.7"/>
          <xsd:enumeration value="MnSPA R19.1"/>
          <xsd:enumeration value="MnSPA R19.2"/>
          <xsd:enumeration value="MnSPA R19.3"/>
          <xsd:enumeration value="MnSPA R19.4"/>
          <xsd:enumeration value="MnSP 18.3"/>
          <xsd:enumeration value="MnSP 18.4"/>
          <xsd:enumeration value="MnSP 18.7"/>
          <xsd:enumeration value="MnSP 18.8"/>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17204160-F558-4C60-B436-59ACB9ECF8A7}">
  <ds:schemaRefs>
    <ds:schemaRef ds:uri="http://schemas.microsoft.com/office/2006/documentManagement/types"/>
    <ds:schemaRef ds:uri="http://purl.org/dc/dcmitype/"/>
    <ds:schemaRef ds:uri="http://schemas.microsoft.com/office/2006/metadata/properties"/>
    <ds:schemaRef ds:uri="http://purl.org/dc/elements/1.1/"/>
    <ds:schemaRef ds:uri="http://purl.org/dc/terms/"/>
    <ds:schemaRef ds:uri="39dc04e4-1dc7-4207-b25c-d7db9724c689"/>
    <ds:schemaRef ds:uri="0cdeeaad-74a8-4021-893f-c7b31297a14c"/>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797D3504-5751-48FF-8DD9-9166D110719C}">
  <ds:schemaRefs>
    <ds:schemaRef ds:uri="http://schemas.microsoft.com/sharepoint/events"/>
  </ds:schemaRefs>
</ds:datastoreItem>
</file>

<file path=customXml/itemProps3.xml><?xml version="1.0" encoding="utf-8"?>
<ds:datastoreItem xmlns:ds="http://schemas.openxmlformats.org/officeDocument/2006/customXml" ds:itemID="{FA39521A-E1FA-4444-B041-9C24C3B7B32B}">
  <ds:schemaRefs>
    <ds:schemaRef ds:uri="http://schemas.microsoft.com/sharepoint/v3/contenttype/forms"/>
  </ds:schemaRefs>
</ds:datastoreItem>
</file>

<file path=customXml/itemProps4.xml><?xml version="1.0" encoding="utf-8"?>
<ds:datastoreItem xmlns:ds="http://schemas.openxmlformats.org/officeDocument/2006/customXml" ds:itemID="{0A372824-76ED-4B9F-AB83-B5C14421BB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6DC436EB-6F86-4513-8F04-178B765891C9}">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Direct Staffing</vt:lpstr>
      <vt:lpstr>Program Plan Support</vt:lpstr>
      <vt:lpstr>Emp. Related Exp.</vt:lpstr>
      <vt:lpstr>Client Programming &amp; Supports</vt:lpstr>
      <vt:lpstr>Program Facility</vt:lpstr>
      <vt:lpstr>Program Related Expenses</vt:lpstr>
      <vt:lpstr>Regional Variance Factor</vt:lpstr>
      <vt:lpstr>Prevoc Rate Framework</vt:lpstr>
      <vt:lpstr>Version</vt:lpstr>
      <vt:lpstr>Budget_Neutrality</vt:lpstr>
      <vt:lpstr>columntitleregion1.b14.g20.1</vt:lpstr>
      <vt:lpstr>Customization</vt:lpstr>
      <vt:lpstr>DirectStaff</vt:lpstr>
      <vt:lpstr>LPN_Units</vt:lpstr>
      <vt:lpstr>'Program Plan Support'!Print_Area</vt:lpstr>
      <vt:lpstr>Relief_Staff</vt:lpstr>
      <vt:lpstr>RN_Units</vt:lpstr>
      <vt:lpstr>Supervision</vt:lpstr>
      <vt:lpstr>titleregion1.b5.g6.1</vt:lpstr>
      <vt:lpstr>titleregion2.b9.g11.1</vt:lpstr>
      <vt:lpstr>TotalStaffing</vt:lpstr>
    </vt:vector>
  </TitlesOfParts>
  <Manager/>
  <Company>State of Minnesota</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Prevocational15Min v12</dc:title>
  <dc:subject/>
  <dc:creator>pwmfb67</dc:creator>
  <cp:keywords/>
  <dc:description/>
  <cp:lastModifiedBy>Lawson, Angie</cp:lastModifiedBy>
  <cp:revision/>
  <dcterms:created xsi:type="dcterms:W3CDTF">2009-10-20T14:58:44Z</dcterms:created>
  <dcterms:modified xsi:type="dcterms:W3CDTF">2020-01-17T17:42:23Z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Order">
    <vt:lpwstr>16900.0000000000</vt:lpwstr>
  </property>
  <property fmtid="{D5CDD505-2E9C-101B-9397-08002B2CF9AE}" pid="7" name="Category-Req">
    <vt:lpwstr>MnSPA R19.2</vt:lpwstr>
  </property>
  <property fmtid="{D5CDD505-2E9C-101B-9397-08002B2CF9AE}" pid="8" name="Sub category-req:">
    <vt:lpwstr>Frameworks</vt:lpwstr>
  </property>
  <property fmtid="{D5CDD505-2E9C-101B-9397-08002B2CF9AE}" pid="9" name="_dlc_DocId">
    <vt:lpwstr>S2EJPDAADAY4-1521811817-557</vt:lpwstr>
  </property>
  <property fmtid="{D5CDD505-2E9C-101B-9397-08002B2CF9AE}" pid="10" name="_dlc_DocIdItemGuid">
    <vt:lpwstr>17f5f572-b4ca-41b4-99a4-4cc6bb6a1ddd</vt:lpwstr>
  </property>
  <property fmtid="{D5CDD505-2E9C-101B-9397-08002B2CF9AE}" pid="11" name="_dlc_DocIdUrl">
    <vt:lpwstr>https://workplace/cc/MnSPA/_layouts/15/DocIdRedir.aspx?ID=S2EJPDAADAY4-1521811817-557, S2EJPDAADAY4-1521811817-557</vt:lpwstr>
  </property>
</Properties>
</file>